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240" windowHeight="9120" activeTab="2"/>
  </bookViews>
  <sheets>
    <sheet name="Dados" sheetId="1" r:id="rId1"/>
    <sheet name="Orçamento Fabril" sheetId="2" r:id="rId2"/>
    <sheet name="Orçamento (2) com Investimento" sheetId="3" r:id="rId3"/>
    <sheet name="Orçamento de Investimento" sheetId="4" r:id="rId4"/>
    <sheet name="Orçamento Comercial" sheetId="5" r:id="rId5"/>
    <sheet name="Relaxamento dos Padrões de Créd" sheetId="6" r:id="rId6"/>
    <sheet name="Desconto por Pgto Rápid" sheetId="7" r:id="rId7"/>
    <sheet name="Aproveitamento de Desconto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<sst xmlns="http://schemas.openxmlformats.org/spreadsheetml/2006/main" count="1482" uniqueCount="682">
  <si>
    <t>Orcamento de Vendas</t>
  </si>
  <si>
    <t>Vendas a Vista</t>
  </si>
  <si>
    <t>Vendas Totais</t>
  </si>
  <si>
    <t>Inflacao</t>
  </si>
  <si>
    <t>Preco de Venda Unitario (R$)</t>
  </si>
  <si>
    <t>A Vista</t>
  </si>
  <si>
    <t>A Prazo</t>
  </si>
  <si>
    <t>Orcamento de Contas a Receber</t>
  </si>
  <si>
    <t>(-) Contas a Receber Recebidas no Periodo</t>
  </si>
  <si>
    <t>(=) Saldo Final de Contas a receber</t>
  </si>
  <si>
    <t>Condicoes de Compra</t>
  </si>
  <si>
    <t>Orcamento de Compras</t>
  </si>
  <si>
    <t>(+) Estoque Final</t>
  </si>
  <si>
    <t>(-) Estoque Inicial</t>
  </si>
  <si>
    <t>(=) Compras (Unidades)</t>
  </si>
  <si>
    <t>Preco de Compra</t>
  </si>
  <si>
    <t>Preco de Compra Unitario</t>
  </si>
  <si>
    <t>Compras Totais</t>
  </si>
  <si>
    <t>Orcamento do CMV</t>
  </si>
  <si>
    <t>Valor Estoque Inicial</t>
  </si>
  <si>
    <t>Total</t>
  </si>
  <si>
    <t>Custo Unitario Medio</t>
  </si>
  <si>
    <t>Quantidade Vendida</t>
  </si>
  <si>
    <t>CMV</t>
  </si>
  <si>
    <t>Orcamento de Contas a Pagar</t>
  </si>
  <si>
    <t>Saldo Inicial de Contas a Pagar</t>
  </si>
  <si>
    <t>(+) Compras a Prazo no Periodo</t>
  </si>
  <si>
    <t>(-) Contas a Pagar Pagas no Periodo</t>
  </si>
  <si>
    <t>Orcamento de Despesas</t>
  </si>
  <si>
    <t>Despesas Gerais (R$)</t>
  </si>
  <si>
    <t>Orcamento de Fornecedores a Pagar</t>
  </si>
  <si>
    <t>Saldo Inicial de Fornecedores a Pagar</t>
  </si>
  <si>
    <t>(-) Fornecedores a Pagar Pagos no Periodo</t>
  </si>
  <si>
    <t>(=) Saldo Final de Fornecedores a Pagar no Periodo</t>
  </si>
  <si>
    <t>(=) Saldo Final de Contas a Pagar</t>
  </si>
  <si>
    <t>(+) Contas a Pagar do Periodo</t>
  </si>
  <si>
    <t>Orcamento de Caixa</t>
  </si>
  <si>
    <t>Entradas</t>
  </si>
  <si>
    <t>Contas a Receber</t>
  </si>
  <si>
    <t>Saidas</t>
  </si>
  <si>
    <t>Contas a Pagar</t>
  </si>
  <si>
    <t>Fornecedores a Pagar</t>
  </si>
  <si>
    <t>Saldo Inicial de Caixa</t>
  </si>
  <si>
    <t>(+) Saldo de Caixa do Periodo</t>
  </si>
  <si>
    <t>(=) Saldo de Caixa Parcial</t>
  </si>
  <si>
    <t>(+) Captacoes de Recursos</t>
  </si>
  <si>
    <t>(-) Aplicacoes de Recursos</t>
  </si>
  <si>
    <t>(+) Politica de Caixa da Empresa</t>
  </si>
  <si>
    <t>(=) Saldo Final de Caixa</t>
  </si>
  <si>
    <t>Despesas Pagas a Vista</t>
  </si>
  <si>
    <t>Compras a Vista</t>
  </si>
  <si>
    <t>Compras a Prazo</t>
  </si>
  <si>
    <t>Despesas a Vista</t>
  </si>
  <si>
    <t>Despesas a Prazo</t>
  </si>
  <si>
    <t>DRE Projetado</t>
  </si>
  <si>
    <t xml:space="preserve">Vendas </t>
  </si>
  <si>
    <t>(-) CMV</t>
  </si>
  <si>
    <t>Lucro Bruto</t>
  </si>
  <si>
    <t>(-) Despesas</t>
  </si>
  <si>
    <t>Lucro Liquido</t>
  </si>
  <si>
    <t>BP Projetado</t>
  </si>
  <si>
    <t>Ativo</t>
  </si>
  <si>
    <t>Caixa</t>
  </si>
  <si>
    <t>Estoques</t>
  </si>
  <si>
    <t>Passivo</t>
  </si>
  <si>
    <t>Emprestimos a Pagar</t>
  </si>
  <si>
    <t>PL</t>
  </si>
  <si>
    <t>Lucros Acumulados</t>
  </si>
  <si>
    <t>IGP-M Final</t>
  </si>
  <si>
    <t xml:space="preserve">IGP-M Medio </t>
  </si>
  <si>
    <t>IGP-M Final Acumulado</t>
  </si>
  <si>
    <t>IGP-M Medio Acumulado</t>
  </si>
  <si>
    <t>1 Trim</t>
  </si>
  <si>
    <t>2 Trim</t>
  </si>
  <si>
    <t>3 Trim</t>
  </si>
  <si>
    <t>4 Trim</t>
  </si>
  <si>
    <t>Orcamento de Invest</t>
  </si>
  <si>
    <t>Orcam de Invest c/ Corr Monet</t>
  </si>
  <si>
    <t>(+) Aquisicoes do Periodo</t>
  </si>
  <si>
    <t>(=) Saldo Final de Investim</t>
  </si>
  <si>
    <t>Investimento Inicial</t>
  </si>
  <si>
    <t xml:space="preserve">Investimento Inicial Corrigido </t>
  </si>
  <si>
    <t>(+) Aquisicoes do Periodo (IGP-M Medio)</t>
  </si>
  <si>
    <t>(=) Saldo Final de Investim (IGP-M Final)</t>
  </si>
  <si>
    <t>Orcam de Depreciacao</t>
  </si>
  <si>
    <t>Saldo Inicial de Depreciacao Acum</t>
  </si>
  <si>
    <t>(=) Saldo Final de Depreciacao</t>
  </si>
  <si>
    <t>(+) Correcao Monetaria do Investim</t>
  </si>
  <si>
    <t>(+) Correcao Monetaria da Depreciacao</t>
  </si>
  <si>
    <t>Orcamento de Correcao Monetaria</t>
  </si>
  <si>
    <t>Correcao Monetaria dos Investimentos</t>
  </si>
  <si>
    <t xml:space="preserve">(-) Correcao Monetaria da Depreciacao </t>
  </si>
  <si>
    <t>(=) Correcao Monetaria Total</t>
  </si>
  <si>
    <t>ou</t>
  </si>
  <si>
    <t>(+) Depreciacao do Trimestre (IGP-M Medio)</t>
  </si>
  <si>
    <t>Orcam de Depreciacao c/ Corr Monet</t>
  </si>
  <si>
    <t xml:space="preserve">(+) Depreciacao do Trimestre </t>
  </si>
  <si>
    <t>(=) Saldo Final de Depreciacao (IGP-M Final)</t>
  </si>
  <si>
    <t>Depreciacao Anual</t>
  </si>
  <si>
    <t>Se o investimento 'e fixado a unidade de investimento</t>
  </si>
  <si>
    <t>Se o investimento 'e fixado ao R$ disponibilizado</t>
  </si>
  <si>
    <t>ICMS sobre compras ( ICMS a Recuperar)</t>
  </si>
  <si>
    <t>ICMS sobre Vendas (ICMS a Pagar Bruto)</t>
  </si>
  <si>
    <t>Orcamento de Tributos</t>
  </si>
  <si>
    <t>ICMS</t>
  </si>
  <si>
    <t>ICMS a Pagar</t>
  </si>
  <si>
    <t>(-) ICMS a Recuperar</t>
  </si>
  <si>
    <t>(=) ICMS a Pagar Liquido</t>
  </si>
  <si>
    <t>ICMS Recolhido no Periodo</t>
  </si>
  <si>
    <t>ICMS a Recuperar</t>
  </si>
  <si>
    <t>(-) ICMS Bruto</t>
  </si>
  <si>
    <t>(+) Valor das Compras Liquido (Sem ICMS)</t>
  </si>
  <si>
    <t>Valor das Compras Liquido</t>
  </si>
  <si>
    <t>Vendas a Vista Total</t>
  </si>
  <si>
    <t>Vendas a Prazo Total</t>
  </si>
  <si>
    <t>Vendas a Prazo</t>
  </si>
  <si>
    <t>Número de dias do Período</t>
  </si>
  <si>
    <t>Venda a Prazo Diária</t>
  </si>
  <si>
    <t>Saldo Inicial de Contas a Receber</t>
  </si>
  <si>
    <t>Número de dias Recebíveis</t>
  </si>
  <si>
    <t xml:space="preserve">Saldo Final de Contas a Receber </t>
  </si>
  <si>
    <t>Compras a Prazo Diária</t>
  </si>
  <si>
    <t>Número de dias Pagáveis</t>
  </si>
  <si>
    <t xml:space="preserve">Saldo Final de Fornecedores a Pagar </t>
  </si>
  <si>
    <t>Número de dias do período</t>
  </si>
  <si>
    <t>ICMS a Pagar gerado por dia</t>
  </si>
  <si>
    <t>Número de dias de recolhimento do ICMS</t>
  </si>
  <si>
    <t>ICMS a Pagar no Final do Periodo</t>
  </si>
  <si>
    <t>Saldo Inicial de ICMS a Pagar</t>
  </si>
  <si>
    <t>(+) ICMS a Pagar do Período</t>
  </si>
  <si>
    <t>(-) Saldo Final de ICMS a Pagar no Período</t>
  </si>
  <si>
    <t>Vendas Líquidas</t>
  </si>
  <si>
    <t>Quantidade em Estoque final</t>
  </si>
  <si>
    <t>Ei (unidades)</t>
  </si>
  <si>
    <t>(+) Compras</t>
  </si>
  <si>
    <t>Estoque Parcial</t>
  </si>
  <si>
    <t>Estoque Final</t>
  </si>
  <si>
    <t>AP</t>
  </si>
  <si>
    <t>Capital Social</t>
  </si>
  <si>
    <t>Contas a Receber Recebidas</t>
  </si>
  <si>
    <t>Fornecedores a Pagar Pagos</t>
  </si>
  <si>
    <t>Quantidade Projetada de Chocolates (Unidades)</t>
  </si>
  <si>
    <t xml:space="preserve">Preço de Venda </t>
  </si>
  <si>
    <t>Condições</t>
  </si>
  <si>
    <t>Trim 1</t>
  </si>
  <si>
    <t>Trim 2</t>
  </si>
  <si>
    <t>Trim 3</t>
  </si>
  <si>
    <t>Trim 4</t>
  </si>
  <si>
    <t>(+) Contas a Receber do Preriodo (Vendas a Prazo)</t>
  </si>
  <si>
    <t>Vendas (Unidades)</t>
  </si>
  <si>
    <t>Trim 5</t>
  </si>
  <si>
    <t>Aplicações de Recursos</t>
  </si>
  <si>
    <t>Crec</t>
  </si>
  <si>
    <t>Estoque</t>
  </si>
  <si>
    <t>Fornecedores</t>
  </si>
  <si>
    <t>CP</t>
  </si>
  <si>
    <t>Rentabilidade</t>
  </si>
  <si>
    <t>PME</t>
  </si>
  <si>
    <t>PMP</t>
  </si>
  <si>
    <t>PMC</t>
  </si>
  <si>
    <t>CC</t>
  </si>
  <si>
    <t>GC</t>
  </si>
  <si>
    <t>Caixa Operac</t>
  </si>
  <si>
    <t>NIG</t>
  </si>
  <si>
    <t>CCL</t>
  </si>
  <si>
    <t>SD</t>
  </si>
  <si>
    <t>NTFP</t>
  </si>
  <si>
    <t>Custo Oportun</t>
  </si>
  <si>
    <t>Tarifa</t>
  </si>
  <si>
    <t>LEC</t>
  </si>
  <si>
    <t>Contas a Pagar Pagas no Período</t>
  </si>
  <si>
    <t>Período</t>
  </si>
  <si>
    <t>SOBRE VENDAS</t>
  </si>
  <si>
    <t>LCC</t>
  </si>
  <si>
    <t>Custo Mnt Estoq</t>
  </si>
  <si>
    <t>Custo de Pedir</t>
  </si>
  <si>
    <t>Núm Pedidos</t>
  </si>
  <si>
    <t>Núm Convers</t>
  </si>
  <si>
    <t>o</t>
  </si>
  <si>
    <t>Vendas Anteriores</t>
  </si>
  <si>
    <t>Vendas Novas (unidades)</t>
  </si>
  <si>
    <t>Vendas Anteriores (unidades)</t>
  </si>
  <si>
    <t>Variação das Vendas</t>
  </si>
  <si>
    <t>Preço Unitário</t>
  </si>
  <si>
    <t>Custo Unitário</t>
  </si>
  <si>
    <t>MC/unidade</t>
  </si>
  <si>
    <t>Aumento de vendas x margem de contribuição/unidade</t>
  </si>
  <si>
    <t>PMR Anterior</t>
  </si>
  <si>
    <t>PMR Novo</t>
  </si>
  <si>
    <t>Giro de CR</t>
  </si>
  <si>
    <t>Investim médio plano novo</t>
  </si>
  <si>
    <t>Investim médio plano anterior</t>
  </si>
  <si>
    <t>Investimento Marginal em Contas a Receber</t>
  </si>
  <si>
    <t>Custo de Oportunidade</t>
  </si>
  <si>
    <t>Perdas com Incobráveis Anterior</t>
  </si>
  <si>
    <t>Perdas com Incobráveis Novo</t>
  </si>
  <si>
    <t>Custo de Perdas no plano anterior</t>
  </si>
  <si>
    <t>Custo de Perdas no plano proposto</t>
  </si>
  <si>
    <t>Custo de Oportunidade R$</t>
  </si>
  <si>
    <t>Custo de Oportunidade %</t>
  </si>
  <si>
    <t>Custo de Perdas Marginais</t>
  </si>
  <si>
    <t>Desconto concedido</t>
  </si>
  <si>
    <t>Custo do Desconto</t>
  </si>
  <si>
    <t>% de Vendas a Prazo que aproveita o desconto</t>
  </si>
  <si>
    <t>Ganho ou perda com o desconto</t>
  </si>
  <si>
    <t>DESCONTO POR PAGAMENTO RÁPIDO</t>
  </si>
  <si>
    <t>Análise do Relaxamento de Padrões de Crédito</t>
  </si>
  <si>
    <t>Vendas Novas</t>
  </si>
  <si>
    <t>Margem de Contribuição/unidade</t>
  </si>
  <si>
    <t>PMR anterior</t>
  </si>
  <si>
    <t>PMR proposto</t>
  </si>
  <si>
    <t>Giro de Contas a Receber Anterior</t>
  </si>
  <si>
    <t>Giro de Contas a Receber Proposto</t>
  </si>
  <si>
    <t>Nível Anterior de Perdas com cliente</t>
  </si>
  <si>
    <t>Novo nível de perdas com clientes</t>
  </si>
  <si>
    <t>Contribuição de Vendas Adicionais</t>
  </si>
  <si>
    <t>Invetimento médio no plano proposto</t>
  </si>
  <si>
    <t>Investimento médio anterior</t>
  </si>
  <si>
    <t>Investimento marginal em contas a receber</t>
  </si>
  <si>
    <t>Custo do investimento marginal em contas a receber</t>
  </si>
  <si>
    <t>Custo de perdas no plano proposto</t>
  </si>
  <si>
    <t>Custo de perdas no plano atual</t>
  </si>
  <si>
    <t>Custo de perdas marginais</t>
  </si>
  <si>
    <t>Ganho ou perda com a implantação do plano proposto</t>
  </si>
  <si>
    <t>Desconto</t>
  </si>
  <si>
    <t>Tempo de desconto em dias</t>
  </si>
  <si>
    <t>Prazo de pagamento em dias</t>
  </si>
  <si>
    <t>Valor da conta R$</t>
  </si>
  <si>
    <t>Custo Anualizado do Não Aproveitamento em R$</t>
  </si>
  <si>
    <t>Custo Anualizado do Não Aproveitamento em %</t>
  </si>
  <si>
    <t>APROVEITAMENTO DE DESCONTO POR PAGAMENTO</t>
  </si>
  <si>
    <t>Ponto Ret Z</t>
  </si>
  <si>
    <t>Custo Op Diário</t>
  </si>
  <si>
    <t>Média Demand Cx</t>
  </si>
  <si>
    <t>Variância Cx</t>
  </si>
  <si>
    <t>Desvio Padrão Cx</t>
  </si>
  <si>
    <t>Saldo Médio Cx</t>
  </si>
  <si>
    <t>Lim Sup Cx</t>
  </si>
  <si>
    <t>Valor Aplic</t>
  </si>
  <si>
    <t>PE 1</t>
  </si>
  <si>
    <t>PE 2</t>
  </si>
  <si>
    <t>PE 3</t>
  </si>
  <si>
    <t>Pe 4</t>
  </si>
  <si>
    <t>Variáveis</t>
  </si>
  <si>
    <t>Variação Percentual</t>
  </si>
  <si>
    <t>(-) Perdas com incobráveis</t>
  </si>
  <si>
    <t xml:space="preserve">Investimentos </t>
  </si>
  <si>
    <t>Depreciação Acumulada</t>
  </si>
  <si>
    <t>(-) Depreciação</t>
  </si>
  <si>
    <t>(+/-) Correção Monetária</t>
  </si>
  <si>
    <t>VALORES MÉDIOS</t>
  </si>
  <si>
    <t>SOBRE VENDAS - VALORES MÉDIOS</t>
  </si>
  <si>
    <t>SOBRE VENDAS - VALORES FINAIS</t>
  </si>
  <si>
    <t>VALORES FINAIS</t>
  </si>
  <si>
    <t>Preço-Meta de Venda Fórmula Du-Pont</t>
  </si>
  <si>
    <t>Preço-Meta</t>
  </si>
  <si>
    <t>Rotação/velocidade das vendas desej. (R) em vezes</t>
  </si>
  <si>
    <t>Custo Total Unitário (CTu) R$</t>
  </si>
  <si>
    <t>Taxa de Retorno sobre o Invest. (TRI) %</t>
  </si>
  <si>
    <t>Despesas Diretas Proporcionais (dP) (ICM,comissão) %</t>
  </si>
  <si>
    <t>Orcamento de Produção</t>
  </si>
  <si>
    <t>(=) Produção Necessária (Unidades)</t>
  </si>
  <si>
    <t>(+) Estoque Final Produto Acabado</t>
  </si>
  <si>
    <t>(-) Estoque Inicial Produto Acabado</t>
  </si>
  <si>
    <t>Condicoes de Compra Matéria-Prima</t>
  </si>
  <si>
    <t>Consumo orçado de Matéria-Prima</t>
  </si>
  <si>
    <t>(x) Produção Necessária de PA</t>
  </si>
  <si>
    <t>Consumo de Matéria-Prima/ PA</t>
  </si>
  <si>
    <t>(-) IPI</t>
  </si>
  <si>
    <t>(-) ICMS sobre Vendas Totais (ICMS a Pagar Bruto)</t>
  </si>
  <si>
    <t xml:space="preserve">      Política de estoque de MP em dias de cobertura</t>
  </si>
  <si>
    <t>(=) Vendas Totais com IPI</t>
  </si>
  <si>
    <t>(+) Vendas a Prazo Total</t>
  </si>
  <si>
    <t>(=) Vendas Líquidas</t>
  </si>
  <si>
    <t>(x) Preco de Venda Unitario (R$)</t>
  </si>
  <si>
    <t>(=) Vendas Totais</t>
  </si>
  <si>
    <t>(/) Número de dias do Período</t>
  </si>
  <si>
    <t>(=) Venda a Prazo Diária</t>
  </si>
  <si>
    <t>(x) Número de dias Recebíveis</t>
  </si>
  <si>
    <t xml:space="preserve">(=) Saldo Final de Contas a Receber </t>
  </si>
  <si>
    <t>(+) A Prazo</t>
  </si>
  <si>
    <t>(=) Preco de Venda do Fornecedor de MP</t>
  </si>
  <si>
    <t>(+) Compras a Prazo</t>
  </si>
  <si>
    <t>(-) ICMS sobre compras ( ICMS a Recuperar)</t>
  </si>
  <si>
    <t>Orçamento de Compra de Matéria Prima</t>
  </si>
  <si>
    <t>Valor das Compras Liquido (R$)</t>
  </si>
  <si>
    <t>Compras Totais de MP (R$)</t>
  </si>
  <si>
    <t>(=) Compras Totais de PM (Unidades)</t>
  </si>
  <si>
    <t>(=) Compras Totais com IPI (R$)</t>
  </si>
  <si>
    <t>Orcamento de Estoques e Custo de MP na Produção</t>
  </si>
  <si>
    <t xml:space="preserve">           Política de Estoque de PA em dias de Cobertura</t>
  </si>
  <si>
    <t>Saldo Inicial de MP em Estoque (Unidades)</t>
  </si>
  <si>
    <t>(+) Compras de MP (Unidades)</t>
  </si>
  <si>
    <t>(-) Consumo de MP na Produção (Unidades)</t>
  </si>
  <si>
    <t>(=) Saldo Final de MP em Estoque (Unidades)</t>
  </si>
  <si>
    <t>(=) Saldo Intermediário</t>
  </si>
  <si>
    <t>Saldo Inicial de MP em Estoque (R$)</t>
  </si>
  <si>
    <t>(-) Estoque Inicial de MP (Unidades)</t>
  </si>
  <si>
    <t>(+) Compras de MP (R$)</t>
  </si>
  <si>
    <t>(=) Saldo Intermediário (R$)</t>
  </si>
  <si>
    <t xml:space="preserve">          Custo Médio Unitário para Transf. (Saldo Interm. R$/Unidades) </t>
  </si>
  <si>
    <t>(-) Consumo de MP na Produção (R$) (Custo Médio x Consumo Unid.)</t>
  </si>
  <si>
    <t>(=) Saldo Final de MP em Estoque (R$) (Custo Médio x EF Unidades)</t>
  </si>
  <si>
    <t>Período do Orçamento</t>
  </si>
  <si>
    <t>Política de Estoque de PA em dias de Cobertura</t>
  </si>
  <si>
    <t>VARIÁVEIS EXÓGENAS</t>
  </si>
  <si>
    <t>VARIÁVEIS ENDÓGENAS</t>
  </si>
  <si>
    <t>Estoque Inicial de MP (Unidades)</t>
  </si>
  <si>
    <t>Política de estoque de MP em dias de cobertura</t>
  </si>
  <si>
    <t>Orcamento de Mão-de-Obra Direta</t>
  </si>
  <si>
    <t>Salário por Hora Trabalhada</t>
  </si>
  <si>
    <t>Quantidade Projetada (Unidades)</t>
  </si>
  <si>
    <t xml:space="preserve">               Número de Horas Direta/Unidade Produzida</t>
  </si>
  <si>
    <t>(*) Número de Horas de Trabalho Total para a Produção Necessária</t>
  </si>
  <si>
    <t>(=) Remuneração das Horas Produtivas</t>
  </si>
  <si>
    <t>(+) Descanso Semanal Remunerado</t>
  </si>
  <si>
    <t xml:space="preserve">               INPC - Inflator Acumulado</t>
  </si>
  <si>
    <t>Descontos de Salários Empregados</t>
  </si>
  <si>
    <t>Previdência Social</t>
  </si>
  <si>
    <t>(+) Imposto de Renda</t>
  </si>
  <si>
    <t>(=) Total dos Descontos</t>
  </si>
  <si>
    <t>Encargos da Empresa</t>
  </si>
  <si>
    <t>(+) FGTS</t>
  </si>
  <si>
    <t>(+) Provisão Férias</t>
  </si>
  <si>
    <t>(+) Provisão 13° Salário</t>
  </si>
  <si>
    <t>(+) Provisão para Aviso Prévio</t>
  </si>
  <si>
    <t>(=) Total de Encargos</t>
  </si>
  <si>
    <t>Descanso Semanal Remunerado</t>
  </si>
  <si>
    <t>(=) Salário Bruto</t>
  </si>
  <si>
    <t>(+) Encargos Sociais</t>
  </si>
  <si>
    <t>(=) Custo Total</t>
  </si>
  <si>
    <t>Orcamento de Mão-de-Obra Direta - Folha de Pagamento</t>
  </si>
  <si>
    <t>(-) Desconto Previdência Social</t>
  </si>
  <si>
    <t>(-) Desconto Imposto de Renda</t>
  </si>
  <si>
    <t>(=) Salário Líquido</t>
  </si>
  <si>
    <t>(=) Encargos Totais</t>
  </si>
  <si>
    <t>Custo Total (A)+(B)</t>
  </si>
  <si>
    <t>Salário Bruto (A)</t>
  </si>
  <si>
    <t>Encargos da Empresa (B)</t>
  </si>
  <si>
    <t>(+) Seguro Contra Acidentes de Trabalho</t>
  </si>
  <si>
    <t>(+) Provisão Depósito para Rescisões (Multa Rescisória 40%)</t>
  </si>
  <si>
    <t>INPC</t>
  </si>
  <si>
    <t>Condições de Pgto Fornecedor</t>
  </si>
  <si>
    <t>Condições de Pgto do Cliente</t>
  </si>
  <si>
    <t>Discriminação</t>
  </si>
  <si>
    <t xml:space="preserve">   EDIFÍCIO ANTIGO</t>
  </si>
  <si>
    <t xml:space="preserve">      Salários de Supervisores</t>
  </si>
  <si>
    <t xml:space="preserve">      Salários Diversos</t>
  </si>
  <si>
    <t xml:space="preserve">      Encargos Sociais</t>
  </si>
  <si>
    <t xml:space="preserve">      Manutenção</t>
  </si>
  <si>
    <t xml:space="preserve">      Ar-condicionado</t>
  </si>
  <si>
    <t xml:space="preserve">      Água e Esgoto</t>
  </si>
  <si>
    <t xml:space="preserve">      Depreciação</t>
  </si>
  <si>
    <t xml:space="preserve">      Seguros</t>
  </si>
  <si>
    <t xml:space="preserve">      Impostos</t>
  </si>
  <si>
    <t xml:space="preserve">        Total Edifício Antigo</t>
  </si>
  <si>
    <t xml:space="preserve">   EDIFÍCIO NOVO</t>
  </si>
  <si>
    <t xml:space="preserve">        Total Edifício Novo</t>
  </si>
  <si>
    <t xml:space="preserve">        Total Geral</t>
  </si>
  <si>
    <t xml:space="preserve">    EDIFÍCIO ANTIGO</t>
  </si>
  <si>
    <t xml:space="preserve">        Fabricação </t>
  </si>
  <si>
    <t xml:space="preserve">        Comercial</t>
  </si>
  <si>
    <t xml:space="preserve">        Administração e Finanças</t>
  </si>
  <si>
    <t xml:space="preserve">           Total</t>
  </si>
  <si>
    <t xml:space="preserve">    EDIFÍCIO NOVO</t>
  </si>
  <si>
    <t xml:space="preserve">    TOTAL</t>
  </si>
  <si>
    <t>Orçamento dos Custos de Manutenção de Edifícios</t>
  </si>
  <si>
    <t>Custos de Manutenção de Edifícios a Valores Corrigidos</t>
  </si>
  <si>
    <t xml:space="preserve">                      Comercial</t>
  </si>
  <si>
    <t xml:space="preserve">                      Administração e Finanças</t>
  </si>
  <si>
    <t>Ed. Novo</t>
  </si>
  <si>
    <t>Edif. Antigo</t>
  </si>
  <si>
    <t>CUSTOS FIXOS</t>
  </si>
  <si>
    <t xml:space="preserve">      Encargos Sociais        (INPC Acumulado)                </t>
  </si>
  <si>
    <t xml:space="preserve">      Viagens  (IGP Acumulado)</t>
  </si>
  <si>
    <t xml:space="preserve">      Comunicações (IGP Acum - Semest)</t>
  </si>
  <si>
    <t xml:space="preserve">      Materiais de Escritórios (IGP Acum)</t>
  </si>
  <si>
    <r>
      <t xml:space="preserve">      Seguros -</t>
    </r>
    <r>
      <rPr>
        <b/>
        <sz val="10"/>
        <color indexed="8"/>
        <rFont val="Arial"/>
        <family val="2"/>
      </rPr>
      <t xml:space="preserve"> (Não é corrigido)</t>
    </r>
    <r>
      <rPr>
        <sz val="10"/>
        <color indexed="8"/>
        <rFont val="Arial"/>
        <family val="2"/>
      </rPr>
      <t xml:space="preserve"> </t>
    </r>
  </si>
  <si>
    <r>
      <t xml:space="preserve">      Impostos -  </t>
    </r>
    <r>
      <rPr>
        <b/>
        <sz val="10"/>
        <color indexed="8"/>
        <rFont val="Arial"/>
        <family val="2"/>
      </rPr>
      <t>(Não é corrigido</t>
    </r>
    <r>
      <rPr>
        <sz val="10"/>
        <color indexed="8"/>
        <rFont val="Arial"/>
        <family val="2"/>
      </rPr>
      <t>)</t>
    </r>
  </si>
  <si>
    <t xml:space="preserve">          Total</t>
  </si>
  <si>
    <t>CUSTOS VARIÁVEIS</t>
  </si>
  <si>
    <t xml:space="preserve">      Viagens</t>
  </si>
  <si>
    <t xml:space="preserve">      Comunicações</t>
  </si>
  <si>
    <t xml:space="preserve">      Materiais de Escritórios</t>
  </si>
  <si>
    <t>CUSTOS TOTAIS</t>
  </si>
  <si>
    <t>Orçamento dos Custos Indiretos de Fabricação</t>
  </si>
  <si>
    <t xml:space="preserve">      Salários de Supervisores (INPC Acum)</t>
  </si>
  <si>
    <t>Adm. Industrial</t>
  </si>
  <si>
    <t>Fixo por</t>
  </si>
  <si>
    <t>Variável por</t>
  </si>
  <si>
    <t>Mês</t>
  </si>
  <si>
    <t>10 h. MOD</t>
  </si>
  <si>
    <t>DEPARTAMENTOS AUXILIARES</t>
  </si>
  <si>
    <t xml:space="preserve">     Salários de Supervisores</t>
  </si>
  <si>
    <t xml:space="preserve">     Salários Diversos</t>
  </si>
  <si>
    <t xml:space="preserve">     Mão-de-obra Indireta</t>
  </si>
  <si>
    <t xml:space="preserve">     Encargos Sociais</t>
  </si>
  <si>
    <t xml:space="preserve">     Viagens</t>
  </si>
  <si>
    <t xml:space="preserve">     Comunicações</t>
  </si>
  <si>
    <t xml:space="preserve">     Manutenção</t>
  </si>
  <si>
    <t xml:space="preserve">     Peças para Manutenção</t>
  </si>
  <si>
    <t xml:space="preserve">     Consumo de Energia Elétrica</t>
  </si>
  <si>
    <t xml:space="preserve">     Materiais Diversos</t>
  </si>
  <si>
    <t xml:space="preserve">     Materiais de Escritório</t>
  </si>
  <si>
    <t xml:space="preserve">     Seguros</t>
  </si>
  <si>
    <t xml:space="preserve">     Impostos</t>
  </si>
  <si>
    <t>Depto. de Montagem</t>
  </si>
  <si>
    <t>DEPARTAMENTOS PRODUTIVOS</t>
  </si>
  <si>
    <t>Rateio dos Custos de Manutenção por Departamento da Empresa</t>
  </si>
  <si>
    <t>Corrigido</t>
  </si>
  <si>
    <t xml:space="preserve">     Salários Diversos (INPC Acum)</t>
  </si>
  <si>
    <t xml:space="preserve">     Mão-de-obra Indireta (INPC Acum)</t>
  </si>
  <si>
    <t>Departamentos Produtivos - FABRICAÇÃO</t>
  </si>
  <si>
    <t xml:space="preserve">     Salários Diversos </t>
  </si>
  <si>
    <t xml:space="preserve">     Mão-de-obra Indireta </t>
  </si>
  <si>
    <t>RESUMO</t>
  </si>
  <si>
    <t xml:space="preserve">    Despesas de Manutenção de Edifícios</t>
  </si>
  <si>
    <t xml:space="preserve">    Depto.  de Administração Industrial - Fixo</t>
  </si>
  <si>
    <t xml:space="preserve">    Total dos Custos Indiretos Fabricação  - Fixo</t>
  </si>
  <si>
    <t xml:space="preserve">    Depto.  Administração Industrial - Variável</t>
  </si>
  <si>
    <t xml:space="preserve">    Total dos Custos Ind. Fabricação - Variável</t>
  </si>
  <si>
    <t xml:space="preserve">    Total Geral</t>
  </si>
  <si>
    <t xml:space="preserve">    Depto.  Produtivo - Fixo</t>
  </si>
  <si>
    <t xml:space="preserve">    Depto.  Produtivo - Variável</t>
  </si>
  <si>
    <t>CUSTOS FIXOS:</t>
  </si>
  <si>
    <t xml:space="preserve">      Custos Diretos</t>
  </si>
  <si>
    <t xml:space="preserve">      Custos Indiretos</t>
  </si>
  <si>
    <t xml:space="preserve">        Manutenção de Edifício</t>
  </si>
  <si>
    <t xml:space="preserve">        Administração Industrial </t>
  </si>
  <si>
    <t xml:space="preserve">        Total Custos Indiretos - Fixos</t>
  </si>
  <si>
    <t>CUSTOS VARIÁVEIS:</t>
  </si>
  <si>
    <t xml:space="preserve">        Total Custos Indiretos - Variáveis</t>
  </si>
  <si>
    <t>TOTAL GERAL</t>
  </si>
  <si>
    <t>HORAS DE MÃO-DE-OBRA DIRETA</t>
  </si>
  <si>
    <t>TAXAS DE ABSORÇÃO DO CIF</t>
  </si>
  <si>
    <t xml:space="preserve">      CIF - FIXA</t>
  </si>
  <si>
    <t xml:space="preserve">      CIF - VARIÁVEL</t>
  </si>
  <si>
    <t xml:space="preserve">      CIF - TOTAL</t>
  </si>
  <si>
    <t>Cálculo da Taxa de Absorção dos CIFs</t>
  </si>
  <si>
    <t>Adm. Fábr.</t>
  </si>
  <si>
    <t>Dpto. Prod.</t>
  </si>
  <si>
    <t>Depto. Aux.</t>
  </si>
  <si>
    <t>Fabricação</t>
  </si>
  <si>
    <t>Percentuais de Rateio da Manutenção de Edifício</t>
  </si>
  <si>
    <t>Depto. Prod.</t>
  </si>
  <si>
    <t>Quantidade Projetadas (Unidades)</t>
  </si>
  <si>
    <t xml:space="preserve">             Taxa de Absorção</t>
  </si>
  <si>
    <t xml:space="preserve">             Horas de MOD</t>
  </si>
  <si>
    <t xml:space="preserve">             CIF absorvido</t>
  </si>
  <si>
    <t>Cálculo da Absorção do CIF por Produto</t>
  </si>
  <si>
    <t xml:space="preserve">    PRODUTO </t>
  </si>
  <si>
    <t xml:space="preserve">         Depto.  de Produção</t>
  </si>
  <si>
    <t xml:space="preserve">          Total </t>
  </si>
  <si>
    <t>CIF INCORRIDOS</t>
  </si>
  <si>
    <t xml:space="preserve">      Por Trimestre</t>
  </si>
  <si>
    <t xml:space="preserve">      Acumulado</t>
  </si>
  <si>
    <t>CIF ABSORVIDOS</t>
  </si>
  <si>
    <t>SOBRE/(SUB) ABSORÇÃO DOS CIF</t>
  </si>
  <si>
    <t>Cálculo da Absorção do CIF</t>
  </si>
  <si>
    <t>Departamentos de Serviços Auxiliares - ADM. INDUSTRIAL</t>
  </si>
  <si>
    <t>ORÇAMENTO DE VENDAS</t>
  </si>
  <si>
    <t>ORÇAMENTO DE PRODUÇÃO</t>
  </si>
  <si>
    <t>ORÇAMENTO DE MATÉRIA-PRIMA</t>
  </si>
  <si>
    <t>ORÇAMENTO DE MÃO-DE-OBRA DIRETA</t>
  </si>
  <si>
    <t>ORÇAMENTO DOS CUSTOS INDIRETOS DE FABRICAÇÃO</t>
  </si>
  <si>
    <t xml:space="preserve">                      Fabricação </t>
  </si>
  <si>
    <t xml:space="preserve">                Percentuais de Rateio (Horas de Reparos /Total de Horas)</t>
  </si>
  <si>
    <t>Horas de Reparo por Departamentos</t>
  </si>
  <si>
    <t>TOTAL</t>
  </si>
  <si>
    <t>Despesas chão de Fábrica</t>
  </si>
  <si>
    <t>Dptos Auxiliares</t>
  </si>
  <si>
    <t>Dptos Produtivos</t>
  </si>
  <si>
    <t xml:space="preserve">      Depreciação Fixa Departamentos Auxiliares</t>
  </si>
  <si>
    <t xml:space="preserve">      Depreciação Variável Departamentos Auxiliares</t>
  </si>
  <si>
    <t xml:space="preserve">      Depreciação Fixa Departamentos Produtivos</t>
  </si>
  <si>
    <t xml:space="preserve">      Depreciação Variável Departamentos Produtivos</t>
  </si>
  <si>
    <t>Horas de Reparo por Departamentos de Fabricação</t>
  </si>
  <si>
    <t xml:space="preserve">                      Administração Auxiliar</t>
  </si>
  <si>
    <t xml:space="preserve">                      Produção</t>
  </si>
  <si>
    <t>Mnt Edifícios</t>
  </si>
  <si>
    <t xml:space="preserve">      Salários de Supervisores (INPC)</t>
  </si>
  <si>
    <t xml:space="preserve">      Salários Diversos (INPC)</t>
  </si>
  <si>
    <t xml:space="preserve">      Encargos Sociais (INPC)</t>
  </si>
  <si>
    <t xml:space="preserve">      Manutenção (IGP)</t>
  </si>
  <si>
    <t xml:space="preserve">      Ar-condicionado (IGP)</t>
  </si>
  <si>
    <t xml:space="preserve">      Água e Esgoto (IGP)</t>
  </si>
  <si>
    <t xml:space="preserve">     Manutenção (IGP  Acum - Semest)</t>
  </si>
  <si>
    <t xml:space="preserve">     Peças para Manutenção (IGP Acum - Semest)</t>
  </si>
  <si>
    <t xml:space="preserve">     Consumo de Energia Elétrica (IGP Acum - Semest)</t>
  </si>
  <si>
    <t xml:space="preserve">     Materiais Diversos (IGP Acum - Semest)</t>
  </si>
  <si>
    <t>ORÇAMENTO DOS CUSTOS DOS PRODUTOS VENDIDOS</t>
  </si>
  <si>
    <t>Orçamento dos Custos de Produtos em Fabricação e Produtos Acabados</t>
  </si>
  <si>
    <t>Matéria-Prima</t>
  </si>
  <si>
    <t>(+) Mão-de-Obra Direta</t>
  </si>
  <si>
    <t>(+) Custos Indiretos de Fabricação</t>
  </si>
  <si>
    <t>Produção em Unidades</t>
  </si>
  <si>
    <t>(+) Produção do Período</t>
  </si>
  <si>
    <t>Custo Unitário (C) = (A)/(B)</t>
  </si>
  <si>
    <t>Transferência para Estoque Final de Produtos em Processo</t>
  </si>
  <si>
    <t>(x) Custo Unitário</t>
  </si>
  <si>
    <t>(=) Necessidade de Produtos Acabados</t>
  </si>
  <si>
    <t>(+) Estoque Final de Produtos em Processamento</t>
  </si>
  <si>
    <t>(-) Estoque Inicial de Produtos em Processamento</t>
  </si>
  <si>
    <t>(=) Estoque Final de Produto em Processo (R$)</t>
  </si>
  <si>
    <t>Transferência para Estoque de Produtos Acabados</t>
  </si>
  <si>
    <t>Estoque Final de Produto em Processo (Quantidade) (D)</t>
  </si>
  <si>
    <t>Produção Transferida para Estoque (Quantidade) (E) = (B) - (D)</t>
  </si>
  <si>
    <t>(+) Estoque Inicial de Produtos em Fabricação (R$)</t>
  </si>
  <si>
    <t>Estoque Inicial de Produtos em Fabricação (Unidades)</t>
  </si>
  <si>
    <t>Orçamento dos Produtos Vendidos e Estoque de Produtos Acabados</t>
  </si>
  <si>
    <t>Quantidades</t>
  </si>
  <si>
    <t>(-) Quantidade Vendida</t>
  </si>
  <si>
    <t>(=) Estoque Final</t>
  </si>
  <si>
    <t>Custos Unitários</t>
  </si>
  <si>
    <t>(+) Custo Unitário de Produção do Período</t>
  </si>
  <si>
    <t>(=) Custo Unitário Médio do Estoque Disponível</t>
  </si>
  <si>
    <t>Custos Totais</t>
  </si>
  <si>
    <t>(=) Estoque Disponível</t>
  </si>
  <si>
    <t>(-) Custo dos Produtos Vendidos</t>
  </si>
  <si>
    <t>Estoque Inicial Produto Acabado (Unidades)</t>
  </si>
  <si>
    <t>Estoque Inicial Produto Acabado (R$)</t>
  </si>
  <si>
    <t>Estoque Inicial de Produto em Processamento (Unidades)</t>
  </si>
  <si>
    <t>Estoque Inicial de Produto em Processamento (R$)</t>
  </si>
  <si>
    <t>Política de estoque de Produto em Fabricação (Unidades)</t>
  </si>
  <si>
    <t>Custo Unitário do Estoque Inicial de Produto Acabado</t>
  </si>
  <si>
    <t>(+) Produção de Produtos Acabados do Período</t>
  </si>
  <si>
    <t>(=) Quantidade de Produtos Acabados Disponível</t>
  </si>
  <si>
    <t>Estoque Inicial de Produtos Acabados</t>
  </si>
  <si>
    <t>(=) Custo dos Produtos Produzidos no Período</t>
  </si>
  <si>
    <t>(=) Quantidade de Produtos Acabados e Semiacabados no Período (B)</t>
  </si>
  <si>
    <t>(=) Custo dos Produtos Acabados e Semiacabados no Período (A)</t>
  </si>
  <si>
    <t>(+) Produtos Acabados no Período</t>
  </si>
  <si>
    <t xml:space="preserve">(=) Custo dos Produtos Acabados no Período </t>
  </si>
  <si>
    <t>(=) Estoque Final de Produto Acabado</t>
  </si>
  <si>
    <t>ORÇAMENTO DE DESPESAS</t>
  </si>
  <si>
    <t>Orçamento de Despesas Administrativas</t>
  </si>
  <si>
    <t>Departamento de Adminitração</t>
  </si>
  <si>
    <t xml:space="preserve">     Comissões (INPC Acum)</t>
  </si>
  <si>
    <t>Despesas Administrativas</t>
  </si>
  <si>
    <t>Dpto Administrativo</t>
  </si>
  <si>
    <t>Dpto Comercial</t>
  </si>
  <si>
    <t>R$ 1000,00 Vendas</t>
  </si>
  <si>
    <r>
      <t xml:space="preserve">      Honorários Advocatícios </t>
    </r>
    <r>
      <rPr>
        <b/>
        <sz val="10"/>
        <color indexed="8"/>
        <rFont val="Arial"/>
        <family val="2"/>
      </rPr>
      <t>- (Não é corrigido)</t>
    </r>
    <r>
      <rPr>
        <sz val="10"/>
        <color indexed="8"/>
        <rFont val="Arial"/>
        <family val="2"/>
      </rPr>
      <t xml:space="preserve"> </t>
    </r>
  </si>
  <si>
    <r>
      <t xml:space="preserve">      Auditoria </t>
    </r>
    <r>
      <rPr>
        <b/>
        <sz val="10"/>
        <color indexed="8"/>
        <rFont val="Arial"/>
        <family val="2"/>
      </rPr>
      <t xml:space="preserve">- (Não é corrigido) </t>
    </r>
  </si>
  <si>
    <r>
      <t xml:space="preserve">      Depreciação</t>
    </r>
    <r>
      <rPr>
        <b/>
        <sz val="10"/>
        <color indexed="8"/>
        <rFont val="Arial"/>
        <family val="2"/>
      </rPr>
      <t xml:space="preserve"> - (Não é corrigido) </t>
    </r>
  </si>
  <si>
    <r>
      <t xml:space="preserve">      Depreciação -  </t>
    </r>
    <r>
      <rPr>
        <b/>
        <sz val="10"/>
        <color indexed="8"/>
        <rFont val="Arial"/>
        <family val="2"/>
      </rPr>
      <t>(Não é corrigido</t>
    </r>
    <r>
      <rPr>
        <sz val="10"/>
        <color indexed="8"/>
        <rFont val="Arial"/>
        <family val="2"/>
      </rPr>
      <t>)</t>
    </r>
  </si>
  <si>
    <t>Orçamento de Despesas Comerciais</t>
  </si>
  <si>
    <t>Departamento Comercial</t>
  </si>
  <si>
    <t xml:space="preserve">      Propaganda, publicidade e promoção (IGP Acum)</t>
  </si>
  <si>
    <t>DESPESAS TOTAIS</t>
  </si>
  <si>
    <t>DESPESAS FIXOS</t>
  </si>
  <si>
    <t>DESPESAS VARIÁVEIS</t>
  </si>
  <si>
    <t>IPI</t>
  </si>
  <si>
    <t>IPI a Pagar</t>
  </si>
  <si>
    <t>(-) IPI a Recuperar</t>
  </si>
  <si>
    <t>(=) IPI a Pagar Liquido</t>
  </si>
  <si>
    <t>IPI a Pagar gerado por dia</t>
  </si>
  <si>
    <t>Número de dias de recolhimento do IPI</t>
  </si>
  <si>
    <t>IPI a Pagar no Final do Periodo</t>
  </si>
  <si>
    <t>Saldo Inicial de IPI a Pagar</t>
  </si>
  <si>
    <t>(+) IPI a Pagar do Período</t>
  </si>
  <si>
    <t>(-) Saldo Final de IPI a Pagar no Período</t>
  </si>
  <si>
    <t>IPI Recolhido no Periodo</t>
  </si>
  <si>
    <t>Número de dias de recolhimento dos Impostos</t>
  </si>
  <si>
    <t>Orcamento de Despesas Financeiras</t>
  </si>
  <si>
    <t>Avais</t>
  </si>
  <si>
    <t>Comissões Bancárias de Cobrança</t>
  </si>
  <si>
    <t>Atualizações Monetárias de Empréstimos</t>
  </si>
  <si>
    <t>Atualizações Monetárias de Financiamentos</t>
  </si>
  <si>
    <t>Juros de operações de empréstimos</t>
  </si>
  <si>
    <t>Juros de operações de financiamentos</t>
  </si>
  <si>
    <t>Impostos sobre operações financeiras</t>
  </si>
  <si>
    <t>Taxas de abertura de crédito</t>
  </si>
  <si>
    <t>Demais taxas</t>
  </si>
  <si>
    <t>TOTAIS</t>
  </si>
  <si>
    <t>ORÇAMENTO DE CAIXA</t>
  </si>
  <si>
    <t>Despesas Financeiras</t>
  </si>
  <si>
    <t>Salários Brutos MOD</t>
  </si>
  <si>
    <t>Encargos MOD</t>
  </si>
  <si>
    <t>Custos Indiretos de Fabricação</t>
  </si>
  <si>
    <t>DEMONSTRATIVO DE RESULTADO PROJETADO</t>
  </si>
  <si>
    <t>Saldo Inicial de Caixa (R$)</t>
  </si>
  <si>
    <t>Política de Caixa (R$)</t>
  </si>
  <si>
    <t>Despesas do Depto. Administrativo</t>
  </si>
  <si>
    <t>Despesas do Depto. Comercial</t>
  </si>
  <si>
    <t xml:space="preserve">Vendas Brutas </t>
  </si>
  <si>
    <t>(-) IPI Bruto</t>
  </si>
  <si>
    <t>(-) CPV</t>
  </si>
  <si>
    <t>(-) Despesas Comercais</t>
  </si>
  <si>
    <t>(-) Despesas Administrativas</t>
  </si>
  <si>
    <t>(-) Despesas Financeiras</t>
  </si>
  <si>
    <t>31/12/X0</t>
  </si>
  <si>
    <t>BALANÇO PATRIMONIAL PROJETADO</t>
  </si>
  <si>
    <t>Saldo Inicial de Aplicações de Recursos (R$)</t>
  </si>
  <si>
    <t>Estoque de Produtos em Processo</t>
  </si>
  <si>
    <t>Estoque de Produtos Acabados</t>
  </si>
  <si>
    <t>Estoques de Matéria-Prima</t>
  </si>
  <si>
    <t>Saldo em 31/12/X0 de Empréstimos a Pagar (R$)</t>
  </si>
  <si>
    <t>Capital Social em 31/12/X0</t>
  </si>
  <si>
    <t>Lucros Acumulados até 31/12/X0</t>
  </si>
  <si>
    <t>(+) IPI</t>
  </si>
  <si>
    <t xml:space="preserve">(+) IPI </t>
  </si>
  <si>
    <t xml:space="preserve">(-) IPI </t>
  </si>
  <si>
    <t>Outros (Sobre ou Subabsorção do CIF)</t>
  </si>
  <si>
    <t>Perdas com Incobráveis</t>
  </si>
  <si>
    <t>OBSERV.: Capital Social p/ ajuste do BP</t>
  </si>
  <si>
    <t>Origens</t>
  </si>
  <si>
    <t>Lucro Líquido</t>
  </si>
  <si>
    <t>Diminuição Ativo</t>
  </si>
  <si>
    <t>Aumento Passivo</t>
  </si>
  <si>
    <t>TOTAL DE ORIGENS</t>
  </si>
  <si>
    <t>Aplicações</t>
  </si>
  <si>
    <t>Aumento do Ativo</t>
  </si>
  <si>
    <t>Diminuiçaõ do Passivo</t>
  </si>
  <si>
    <t>TOTAL DE APLICAÇÕES</t>
  </si>
  <si>
    <t>SALDO DO PERÍODO</t>
  </si>
  <si>
    <t>(+) Saldo Inicial</t>
  </si>
  <si>
    <t>(=) Saldo Final</t>
  </si>
  <si>
    <t>ORÇAMENTO DE CAIXA - MÉTODO INDIRETO</t>
  </si>
  <si>
    <t>Ponto de Equilíbrio</t>
  </si>
  <si>
    <t>GAO</t>
  </si>
  <si>
    <t>GAF</t>
  </si>
  <si>
    <t>GAT</t>
  </si>
  <si>
    <t>Rotação do PL</t>
  </si>
  <si>
    <t>Rotação do Ativo</t>
  </si>
  <si>
    <t>Composição do ROA</t>
  </si>
  <si>
    <t>ROA</t>
  </si>
  <si>
    <t>ROE</t>
  </si>
  <si>
    <t>Composição do ROE</t>
  </si>
  <si>
    <t>Multip. Al. Financeira</t>
  </si>
  <si>
    <t>Margem Líquida</t>
  </si>
  <si>
    <t>Margem Segurança</t>
  </si>
  <si>
    <t>Fórmula DUPONT</t>
  </si>
  <si>
    <t>X1</t>
  </si>
  <si>
    <t>AV</t>
  </si>
  <si>
    <t>31/12/X1</t>
  </si>
  <si>
    <t>AH</t>
  </si>
  <si>
    <t>ANÁLISE DO ORÇAMENTO EMPRESARIAL E AUTOTESTE</t>
  </si>
  <si>
    <t>INDOCADOR</t>
  </si>
  <si>
    <t>ORÇAMENTO DE CAPITAL</t>
  </si>
  <si>
    <t xml:space="preserve">IGP-M Médio </t>
  </si>
  <si>
    <t>Aquisições no Período (R$)</t>
  </si>
  <si>
    <t>Saldo Inicial de Depreciação (R$)</t>
  </si>
  <si>
    <t>Depreciação Anual</t>
  </si>
  <si>
    <t>(-) Depreciação do Período</t>
  </si>
  <si>
    <t>(-) Depreciação Acumulada</t>
  </si>
  <si>
    <t>Investimento Inicial (R$) - Ativo Permanente</t>
  </si>
  <si>
    <t>Depreciação</t>
  </si>
  <si>
    <t>(-/+) Correção Monetária</t>
  </si>
  <si>
    <t>Investimentos</t>
  </si>
  <si>
    <t>Saidas Operacionais</t>
  </si>
  <si>
    <t>Saídas Financeiras</t>
  </si>
  <si>
    <t>Saídas de Investimentos</t>
  </si>
  <si>
    <t>Aquisições do Período</t>
  </si>
  <si>
    <t>Investimentos no Período</t>
  </si>
  <si>
    <t>Orçamento de Capital Próprio - Patrimônio Líquido</t>
  </si>
  <si>
    <t>Saldo Inicial Corrigido</t>
  </si>
  <si>
    <t>(-) Capital Registrado</t>
  </si>
  <si>
    <t>Saldo Inicial Corrigido (IGP-M Final)</t>
  </si>
  <si>
    <t>Reserva de Capital</t>
  </si>
  <si>
    <t>(-) Transferência para Capital</t>
  </si>
  <si>
    <t>(=) Saldo Parcial</t>
  </si>
  <si>
    <t>(=) Transferência para Reserva de Capital (A)</t>
  </si>
  <si>
    <t>(=) Correção Monetária do Capital</t>
  </si>
  <si>
    <t>(-) Saldo Anterior</t>
  </si>
  <si>
    <t>Correção Monetária do Resultado do Período Anterior</t>
  </si>
  <si>
    <t>Resultado do Período Anterior</t>
  </si>
  <si>
    <t>Reserva de Capital em 31/12/X0</t>
  </si>
  <si>
    <t>Transferência de Reserva para Capital</t>
  </si>
  <si>
    <t>(+/-) Correção Monetária Ativo</t>
  </si>
  <si>
    <t>(-/+) Correção Monetária PL</t>
  </si>
  <si>
    <t>(-) Saldo Final - Capital Transferido do Capital Social (A)</t>
  </si>
  <si>
    <t xml:space="preserve">Saldo Inicial </t>
  </si>
  <si>
    <t>(-/+) Correção Monetária Passivo</t>
  </si>
  <si>
    <t>Total de Correção Monetária do PL</t>
  </si>
  <si>
    <t>RT</t>
  </si>
  <si>
    <t>CT</t>
  </si>
  <si>
    <t>TRI</t>
  </si>
  <si>
    <t>MCT</t>
  </si>
  <si>
    <t>MCu</t>
  </si>
  <si>
    <t>MCu%</t>
  </si>
  <si>
    <t>TRSPL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</si>
</sst>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[Red]\(0.00\)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_);[Red]\(0.0\)"/>
    <numFmt numFmtId="176" formatCode="0_);[Red]\(0\)"/>
    <numFmt numFmtId="177" formatCode="[$-416]dddd\,\ d&quot; de &quot;mmmm&quot; de &quot;yyyy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_);\(0.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1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7" xfId="0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8" fillId="2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10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8" fontId="0" fillId="4" borderId="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0" fillId="2" borderId="22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2" fontId="0" fillId="4" borderId="27" xfId="0" applyNumberFormat="1" applyFont="1" applyFill="1" applyBorder="1" applyAlignment="1">
      <alignment/>
    </xf>
    <xf numFmtId="2" fontId="0" fillId="4" borderId="28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0" fontId="0" fillId="5" borderId="4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3" xfId="0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10" fontId="0" fillId="5" borderId="29" xfId="0" applyNumberFormat="1" applyFill="1" applyBorder="1" applyAlignment="1">
      <alignment/>
    </xf>
    <xf numFmtId="0" fontId="3" fillId="5" borderId="30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168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2" fontId="0" fillId="3" borderId="2" xfId="0" applyNumberFormat="1" applyFill="1" applyBorder="1" applyAlignment="1">
      <alignment/>
    </xf>
    <xf numFmtId="0" fontId="0" fillId="4" borderId="33" xfId="0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10" fontId="0" fillId="3" borderId="21" xfId="0" applyNumberForma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0" fontId="0" fillId="4" borderId="21" xfId="0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35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3" borderId="36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3" fillId="2" borderId="36" xfId="0" applyNumberFormat="1" applyFont="1" applyFill="1" applyBorder="1" applyAlignment="1">
      <alignment/>
    </xf>
    <xf numFmtId="1" fontId="0" fillId="3" borderId="36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2" fontId="0" fillId="3" borderId="40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1" fontId="0" fillId="2" borderId="36" xfId="0" applyNumberFormat="1" applyFill="1" applyBorder="1" applyAlignment="1">
      <alignment/>
    </xf>
    <xf numFmtId="168" fontId="0" fillId="2" borderId="37" xfId="0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2" borderId="42" xfId="0" applyFill="1" applyBorder="1" applyAlignment="1">
      <alignment/>
    </xf>
    <xf numFmtId="0" fontId="3" fillId="5" borderId="21" xfId="0" applyFont="1" applyFill="1" applyBorder="1" applyAlignment="1">
      <alignment/>
    </xf>
    <xf numFmtId="168" fontId="0" fillId="5" borderId="15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8" fontId="0" fillId="5" borderId="4" xfId="0" applyNumberFormat="1" applyFill="1" applyBorder="1" applyAlignment="1">
      <alignment/>
    </xf>
    <xf numFmtId="0" fontId="3" fillId="5" borderId="35" xfId="0" applyFont="1" applyFill="1" applyBorder="1" applyAlignment="1">
      <alignment/>
    </xf>
    <xf numFmtId="10" fontId="3" fillId="5" borderId="36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10" fontId="0" fillId="2" borderId="14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8" xfId="0" applyFill="1" applyBorder="1" applyAlignment="1">
      <alignment/>
    </xf>
    <xf numFmtId="10" fontId="0" fillId="6" borderId="1" xfId="0" applyNumberFormat="1" applyFill="1" applyBorder="1" applyAlignment="1">
      <alignment/>
    </xf>
    <xf numFmtId="0" fontId="0" fillId="6" borderId="21" xfId="0" applyFill="1" applyBorder="1" applyAlignment="1">
      <alignment/>
    </xf>
    <xf numFmtId="2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68" fontId="0" fillId="2" borderId="22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4" borderId="43" xfId="0" applyNumberFormat="1" applyFill="1" applyBorder="1" applyAlignment="1">
      <alignment/>
    </xf>
    <xf numFmtId="10" fontId="1" fillId="3" borderId="36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1" fontId="1" fillId="3" borderId="36" xfId="0" applyNumberFormat="1" applyFont="1" applyFill="1" applyBorder="1" applyAlignment="1">
      <alignment/>
    </xf>
    <xf numFmtId="2" fontId="1" fillId="3" borderId="36" xfId="0" applyNumberFormat="1" applyFont="1" applyFill="1" applyBorder="1" applyAlignment="1">
      <alignment/>
    </xf>
    <xf numFmtId="2" fontId="1" fillId="3" borderId="40" xfId="0" applyNumberFormat="1" applyFont="1" applyFill="1" applyBorder="1" applyAlignment="1">
      <alignment/>
    </xf>
    <xf numFmtId="2" fontId="0" fillId="2" borderId="43" xfId="0" applyNumberFormat="1" applyFill="1" applyBorder="1" applyAlignment="1">
      <alignment/>
    </xf>
    <xf numFmtId="2" fontId="0" fillId="2" borderId="44" xfId="0" applyNumberFormat="1" applyFill="1" applyBorder="1" applyAlignment="1">
      <alignment/>
    </xf>
    <xf numFmtId="2" fontId="0" fillId="2" borderId="45" xfId="0" applyNumberFormat="1" applyFill="1" applyBorder="1" applyAlignment="1">
      <alignment/>
    </xf>
    <xf numFmtId="2" fontId="0" fillId="5" borderId="45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2" fontId="0" fillId="4" borderId="46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47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2" xfId="0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2" fontId="1" fillId="7" borderId="18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10" fontId="1" fillId="7" borderId="3" xfId="0" applyNumberFormat="1" applyFont="1" applyFill="1" applyBorder="1" applyAlignment="1">
      <alignment/>
    </xf>
    <xf numFmtId="0" fontId="2" fillId="7" borderId="6" xfId="0" applyFont="1" applyFill="1" applyBorder="1" applyAlignment="1">
      <alignment/>
    </xf>
    <xf numFmtId="10" fontId="1" fillId="7" borderId="4" xfId="0" applyNumberFormat="1" applyFont="1" applyFill="1" applyBorder="1" applyAlignment="1">
      <alignment/>
    </xf>
    <xf numFmtId="0" fontId="2" fillId="7" borderId="7" xfId="0" applyFont="1" applyFill="1" applyBorder="1" applyAlignment="1">
      <alignment/>
    </xf>
    <xf numFmtId="2" fontId="0" fillId="2" borderId="48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0" fillId="2" borderId="49" xfId="0" applyFill="1" applyBorder="1" applyAlignment="1">
      <alignment/>
    </xf>
    <xf numFmtId="0" fontId="7" fillId="7" borderId="2" xfId="0" applyFont="1" applyFill="1" applyBorder="1" applyAlignment="1">
      <alignment/>
    </xf>
    <xf numFmtId="2" fontId="1" fillId="7" borderId="18" xfId="0" applyNumberFormat="1" applyFont="1" applyFill="1" applyBorder="1" applyAlignment="1">
      <alignment/>
    </xf>
    <xf numFmtId="0" fontId="1" fillId="7" borderId="2" xfId="0" applyFont="1" applyFill="1" applyBorder="1" applyAlignment="1">
      <alignment/>
    </xf>
    <xf numFmtId="2" fontId="1" fillId="7" borderId="3" xfId="0" applyNumberFormat="1" applyFont="1" applyFill="1" applyBorder="1" applyAlignment="1">
      <alignment/>
    </xf>
    <xf numFmtId="0" fontId="3" fillId="2" borderId="5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49" xfId="0" applyFont="1" applyFill="1" applyBorder="1" applyAlignment="1">
      <alignment/>
    </xf>
    <xf numFmtId="2" fontId="1" fillId="7" borderId="8" xfId="0" applyNumberFormat="1" applyFon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10" fontId="1" fillId="7" borderId="2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7" borderId="1" xfId="0" applyNumberFormat="1" applyFont="1" applyFill="1" applyBorder="1" applyAlignment="1">
      <alignment/>
    </xf>
    <xf numFmtId="2" fontId="0" fillId="7" borderId="2" xfId="0" applyNumberFormat="1" applyFont="1" applyFill="1" applyBorder="1" applyAlignment="1">
      <alignment/>
    </xf>
    <xf numFmtId="10" fontId="0" fillId="7" borderId="1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10" fontId="0" fillId="2" borderId="8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3" fillId="2" borderId="8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/>
    </xf>
    <xf numFmtId="10" fontId="0" fillId="2" borderId="23" xfId="0" applyNumberFormat="1" applyFont="1" applyFill="1" applyBorder="1" applyAlignment="1">
      <alignment/>
    </xf>
    <xf numFmtId="10" fontId="3" fillId="2" borderId="18" xfId="0" applyNumberFormat="1" applyFont="1" applyFill="1" applyBorder="1" applyAlignment="1">
      <alignment/>
    </xf>
    <xf numFmtId="10" fontId="0" fillId="2" borderId="18" xfId="0" applyNumberFormat="1" applyFont="1" applyFill="1" applyBorder="1" applyAlignment="1">
      <alignment/>
    </xf>
    <xf numFmtId="10" fontId="0" fillId="2" borderId="21" xfId="0" applyNumberFormat="1" applyFont="1" applyFill="1" applyBorder="1" applyAlignment="1">
      <alignment/>
    </xf>
    <xf numFmtId="10" fontId="3" fillId="2" borderId="47" xfId="0" applyNumberFormat="1" applyFont="1" applyFill="1" applyBorder="1" applyAlignment="1">
      <alignment/>
    </xf>
    <xf numFmtId="10" fontId="3" fillId="7" borderId="1" xfId="0" applyNumberFormat="1" applyFont="1" applyFill="1" applyBorder="1" applyAlignment="1">
      <alignment/>
    </xf>
    <xf numFmtId="2" fontId="0" fillId="2" borderId="45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10" fontId="0" fillId="2" borderId="45" xfId="0" applyNumberFormat="1" applyFont="1" applyFill="1" applyBorder="1" applyAlignment="1">
      <alignment/>
    </xf>
    <xf numFmtId="10" fontId="3" fillId="2" borderId="46" xfId="0" applyNumberFormat="1" applyFont="1" applyFill="1" applyBorder="1" applyAlignment="1">
      <alignment/>
    </xf>
    <xf numFmtId="10" fontId="0" fillId="2" borderId="44" xfId="0" applyNumberFormat="1" applyFont="1" applyFill="1" applyBorder="1" applyAlignment="1">
      <alignment/>
    </xf>
    <xf numFmtId="10" fontId="0" fillId="2" borderId="51" xfId="0" applyNumberFormat="1" applyFont="1" applyFill="1" applyBorder="1" applyAlignment="1">
      <alignment/>
    </xf>
    <xf numFmtId="0" fontId="0" fillId="2" borderId="23" xfId="0" applyFill="1" applyBorder="1" applyAlignment="1">
      <alignment/>
    </xf>
    <xf numFmtId="2" fontId="1" fillId="3" borderId="22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1" fillId="3" borderId="22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10" fontId="3" fillId="2" borderId="52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53" xfId="0" applyNumberFormat="1" applyFont="1" applyFill="1" applyBorder="1" applyAlignment="1">
      <alignment/>
    </xf>
    <xf numFmtId="0" fontId="13" fillId="0" borderId="39" xfId="0" applyFont="1" applyBorder="1" applyAlignment="1">
      <alignment/>
    </xf>
    <xf numFmtId="178" fontId="13" fillId="0" borderId="47" xfId="20" applyNumberFormat="1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78" fontId="12" fillId="2" borderId="1" xfId="0" applyNumberFormat="1" applyFont="1" applyFill="1" applyBorder="1" applyAlignment="1">
      <alignment/>
    </xf>
    <xf numFmtId="178" fontId="13" fillId="2" borderId="1" xfId="0" applyNumberFormat="1" applyFont="1" applyFill="1" applyBorder="1" applyAlignment="1">
      <alignment/>
    </xf>
    <xf numFmtId="178" fontId="12" fillId="2" borderId="2" xfId="0" applyNumberFormat="1" applyFont="1" applyFill="1" applyBorder="1" applyAlignment="1">
      <alignment/>
    </xf>
    <xf numFmtId="178" fontId="13" fillId="2" borderId="1" xfId="20" applyNumberFormat="1" applyFont="1" applyFill="1" applyBorder="1" applyAlignment="1">
      <alignment/>
    </xf>
    <xf numFmtId="178" fontId="13" fillId="2" borderId="2" xfId="20" applyNumberFormat="1" applyFont="1" applyFill="1" applyBorder="1" applyAlignment="1">
      <alignment/>
    </xf>
    <xf numFmtId="178" fontId="13" fillId="2" borderId="3" xfId="2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centerContinuous"/>
    </xf>
    <xf numFmtId="178" fontId="13" fillId="2" borderId="1" xfId="20" applyNumberFormat="1" applyFont="1" applyFill="1" applyBorder="1" applyAlignment="1">
      <alignment horizontal="centerContinuous"/>
    </xf>
    <xf numFmtId="0" fontId="13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8" xfId="0" applyFont="1" applyFill="1" applyBorder="1" applyAlignment="1">
      <alignment horizontal="centerContinuous"/>
    </xf>
    <xf numFmtId="0" fontId="13" fillId="2" borderId="21" xfId="0" applyFont="1" applyFill="1" applyBorder="1" applyAlignment="1">
      <alignment horizontal="centerContinuous"/>
    </xf>
    <xf numFmtId="178" fontId="13" fillId="2" borderId="2" xfId="20" applyNumberFormat="1" applyFont="1" applyFill="1" applyBorder="1" applyAlignment="1">
      <alignment horizontal="centerContinuous"/>
    </xf>
    <xf numFmtId="0" fontId="13" fillId="2" borderId="14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178" fontId="12" fillId="2" borderId="2" xfId="20" applyNumberFormat="1" applyFont="1" applyFill="1" applyBorder="1" applyAlignment="1">
      <alignment/>
    </xf>
    <xf numFmtId="0" fontId="13" fillId="2" borderId="15" xfId="0" applyFont="1" applyFill="1" applyBorder="1" applyAlignment="1">
      <alignment/>
    </xf>
    <xf numFmtId="178" fontId="13" fillId="2" borderId="4" xfId="20" applyNumberFormat="1" applyFont="1" applyFill="1" applyBorder="1" applyAlignment="1">
      <alignment/>
    </xf>
    <xf numFmtId="0" fontId="12" fillId="2" borderId="17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43" fontId="13" fillId="2" borderId="1" xfId="20" applyNumberFormat="1" applyFont="1" applyFill="1" applyBorder="1" applyAlignment="1">
      <alignment/>
    </xf>
    <xf numFmtId="43" fontId="12" fillId="2" borderId="1" xfId="20" applyNumberFormat="1" applyFont="1" applyFill="1" applyBorder="1" applyAlignment="1">
      <alignment/>
    </xf>
    <xf numFmtId="43" fontId="13" fillId="2" borderId="1" xfId="0" applyNumberFormat="1" applyFont="1" applyFill="1" applyBorder="1" applyAlignment="1">
      <alignment/>
    </xf>
    <xf numFmtId="2" fontId="13" fillId="2" borderId="1" xfId="20" applyNumberFormat="1" applyFont="1" applyFill="1" applyBorder="1" applyAlignment="1">
      <alignment/>
    </xf>
    <xf numFmtId="43" fontId="13" fillId="7" borderId="1" xfId="20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178" fontId="12" fillId="2" borderId="3" xfId="0" applyNumberFormat="1" applyFont="1" applyFill="1" applyBorder="1" applyAlignment="1">
      <alignment/>
    </xf>
    <xf numFmtId="178" fontId="12" fillId="2" borderId="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2" fillId="2" borderId="17" xfId="0" applyFont="1" applyFill="1" applyBorder="1" applyAlignment="1">
      <alignment/>
    </xf>
    <xf numFmtId="178" fontId="12" fillId="2" borderId="18" xfId="0" applyNumberFormat="1" applyFont="1" applyFill="1" applyBorder="1" applyAlignment="1">
      <alignment/>
    </xf>
    <xf numFmtId="178" fontId="12" fillId="2" borderId="21" xfId="0" applyNumberFormat="1" applyFont="1" applyFill="1" applyBorder="1" applyAlignment="1">
      <alignment/>
    </xf>
    <xf numFmtId="10" fontId="13" fillId="7" borderId="1" xfId="0" applyNumberFormat="1" applyFont="1" applyFill="1" applyBorder="1" applyAlignment="1">
      <alignment/>
    </xf>
    <xf numFmtId="10" fontId="13" fillId="7" borderId="2" xfId="0" applyNumberFormat="1" applyFont="1" applyFill="1" applyBorder="1" applyAlignment="1">
      <alignment/>
    </xf>
    <xf numFmtId="10" fontId="13" fillId="7" borderId="3" xfId="0" applyNumberFormat="1" applyFont="1" applyFill="1" applyBorder="1" applyAlignment="1">
      <alignment/>
    </xf>
    <xf numFmtId="10" fontId="13" fillId="7" borderId="4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178" fontId="13" fillId="2" borderId="1" xfId="2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Continuous"/>
    </xf>
    <xf numFmtId="43" fontId="13" fillId="2" borderId="2" xfId="20" applyNumberFormat="1" applyFont="1" applyFill="1" applyBorder="1" applyAlignment="1">
      <alignment/>
    </xf>
    <xf numFmtId="43" fontId="13" fillId="2" borderId="2" xfId="0" applyNumberFormat="1" applyFont="1" applyFill="1" applyBorder="1" applyAlignment="1">
      <alignment/>
    </xf>
    <xf numFmtId="43" fontId="12" fillId="2" borderId="2" xfId="2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Continuous"/>
    </xf>
    <xf numFmtId="43" fontId="13" fillId="2" borderId="2" xfId="20" applyFont="1" applyFill="1" applyBorder="1" applyAlignment="1">
      <alignment/>
    </xf>
    <xf numFmtId="0" fontId="12" fillId="2" borderId="2" xfId="0" applyFont="1" applyFill="1" applyBorder="1" applyAlignment="1">
      <alignment horizontal="centerContinuous"/>
    </xf>
    <xf numFmtId="43" fontId="13" fillId="7" borderId="2" xfId="20" applyNumberFormat="1" applyFont="1" applyFill="1" applyBorder="1" applyAlignment="1">
      <alignment/>
    </xf>
    <xf numFmtId="0" fontId="12" fillId="2" borderId="13" xfId="0" applyFont="1" applyFill="1" applyBorder="1" applyAlignment="1">
      <alignment horizontal="left"/>
    </xf>
    <xf numFmtId="43" fontId="12" fillId="2" borderId="1" xfId="0" applyNumberFormat="1" applyFont="1" applyFill="1" applyBorder="1" applyAlignment="1">
      <alignment/>
    </xf>
    <xf numFmtId="43" fontId="12" fillId="2" borderId="2" xfId="0" applyNumberFormat="1" applyFont="1" applyFill="1" applyBorder="1" applyAlignment="1">
      <alignment/>
    </xf>
    <xf numFmtId="0" fontId="13" fillId="2" borderId="2" xfId="0" applyFont="1" applyFill="1" applyBorder="1" applyAlignment="1">
      <alignment horizontal="centerContinuous"/>
    </xf>
    <xf numFmtId="43" fontId="13" fillId="2" borderId="1" xfId="20" applyNumberFormat="1" applyFont="1" applyFill="1" applyBorder="1" applyAlignment="1">
      <alignment horizontal="center"/>
    </xf>
    <xf numFmtId="43" fontId="13" fillId="2" borderId="4" xfId="20" applyNumberFormat="1" applyFont="1" applyFill="1" applyBorder="1" applyAlignment="1">
      <alignment/>
    </xf>
    <xf numFmtId="43" fontId="12" fillId="2" borderId="3" xfId="20" applyNumberFormat="1" applyFont="1" applyFill="1" applyBorder="1" applyAlignment="1">
      <alignment/>
    </xf>
    <xf numFmtId="43" fontId="12" fillId="2" borderId="4" xfId="2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0" xfId="0" applyFont="1" applyFill="1" applyBorder="1" applyAlignment="1">
      <alignment/>
    </xf>
    <xf numFmtId="0" fontId="12" fillId="2" borderId="50" xfId="0" applyFont="1" applyFill="1" applyBorder="1" applyAlignment="1">
      <alignment horizontal="centerContinuous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1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57" xfId="0" applyFill="1" applyBorder="1" applyAlignment="1">
      <alignment/>
    </xf>
    <xf numFmtId="0" fontId="0" fillId="2" borderId="1" xfId="0" applyNumberForma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43" fontId="1" fillId="0" borderId="1" xfId="20" applyNumberFormat="1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178" fontId="1" fillId="0" borderId="1" xfId="2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43" fontId="12" fillId="4" borderId="3" xfId="0" applyNumberFormat="1" applyFont="1" applyFill="1" applyBorder="1" applyAlignment="1">
      <alignment/>
    </xf>
    <xf numFmtId="43" fontId="12" fillId="4" borderId="4" xfId="0" applyNumberFormat="1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2" fontId="0" fillId="7" borderId="1" xfId="0" applyNumberFormat="1" applyFill="1" applyBorder="1" applyAlignment="1">
      <alignment/>
    </xf>
    <xf numFmtId="40" fontId="0" fillId="2" borderId="1" xfId="0" applyNumberFormat="1" applyFill="1" applyBorder="1" applyAlignment="1">
      <alignment/>
    </xf>
    <xf numFmtId="43" fontId="0" fillId="2" borderId="1" xfId="0" applyNumberFormat="1" applyFill="1" applyBorder="1" applyAlignment="1">
      <alignment/>
    </xf>
    <xf numFmtId="40" fontId="0" fillId="2" borderId="2" xfId="0" applyNumberFormat="1" applyFill="1" applyBorder="1" applyAlignment="1">
      <alignment/>
    </xf>
    <xf numFmtId="43" fontId="0" fillId="2" borderId="2" xfId="0" applyNumberFormat="1" applyFill="1" applyBorder="1" applyAlignment="1">
      <alignment/>
    </xf>
    <xf numFmtId="40" fontId="0" fillId="2" borderId="3" xfId="0" applyNumberFormat="1" applyFill="1" applyBorder="1" applyAlignment="1">
      <alignment/>
    </xf>
    <xf numFmtId="40" fontId="0" fillId="2" borderId="4" xfId="0" applyNumberFormat="1" applyFill="1" applyBorder="1" applyAlignment="1">
      <alignment/>
    </xf>
    <xf numFmtId="1" fontId="1" fillId="7" borderId="22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40" fontId="3" fillId="2" borderId="2" xfId="0" applyNumberFormat="1" applyFont="1" applyFill="1" applyBorder="1" applyAlignment="1">
      <alignment/>
    </xf>
    <xf numFmtId="40" fontId="3" fillId="2" borderId="3" xfId="0" applyNumberFormat="1" applyFont="1" applyFill="1" applyBorder="1" applyAlignment="1">
      <alignment/>
    </xf>
    <xf numFmtId="40" fontId="3" fillId="2" borderId="4" xfId="0" applyNumberFormat="1" applyFont="1" applyFill="1" applyBorder="1" applyAlignment="1">
      <alignment/>
    </xf>
    <xf numFmtId="43" fontId="1" fillId="3" borderId="1" xfId="20" applyNumberFormat="1" applyFont="1" applyFill="1" applyBorder="1" applyAlignment="1">
      <alignment/>
    </xf>
    <xf numFmtId="43" fontId="12" fillId="4" borderId="2" xfId="20" applyNumberFormat="1" applyFont="1" applyFill="1" applyBorder="1" applyAlignment="1">
      <alignment/>
    </xf>
    <xf numFmtId="43" fontId="12" fillId="4" borderId="1" xfId="20" applyNumberFormat="1" applyFont="1" applyFill="1" applyBorder="1" applyAlignment="1">
      <alignment/>
    </xf>
    <xf numFmtId="0" fontId="0" fillId="2" borderId="38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26" xfId="0" applyFill="1" applyBorder="1" applyAlignment="1">
      <alignment/>
    </xf>
    <xf numFmtId="1" fontId="0" fillId="7" borderId="1" xfId="0" applyNumberFormat="1" applyFont="1" applyFill="1" applyBorder="1" applyAlignment="1">
      <alignment/>
    </xf>
    <xf numFmtId="2" fontId="0" fillId="7" borderId="18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2" fontId="0" fillId="4" borderId="4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61" xfId="0" applyFill="1" applyBorder="1" applyAlignment="1">
      <alignment/>
    </xf>
    <xf numFmtId="0" fontId="3" fillId="2" borderId="61" xfId="0" applyFont="1" applyFill="1" applyBorder="1" applyAlignment="1">
      <alignment/>
    </xf>
    <xf numFmtId="0" fontId="0" fillId="2" borderId="61" xfId="0" applyFont="1" applyFill="1" applyBorder="1" applyAlignment="1">
      <alignment/>
    </xf>
    <xf numFmtId="0" fontId="3" fillId="2" borderId="62" xfId="0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63" xfId="0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2" borderId="64" xfId="0" applyFill="1" applyBorder="1" applyAlignment="1">
      <alignment/>
    </xf>
    <xf numFmtId="0" fontId="0" fillId="2" borderId="62" xfId="0" applyFill="1" applyBorder="1" applyAlignment="1">
      <alignment/>
    </xf>
    <xf numFmtId="168" fontId="1" fillId="7" borderId="1" xfId="0" applyNumberFormat="1" applyFont="1" applyFill="1" applyBorder="1" applyAlignment="1">
      <alignment/>
    </xf>
    <xf numFmtId="2" fontId="1" fillId="7" borderId="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40" fontId="0" fillId="2" borderId="6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1" fillId="7" borderId="59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40" fontId="0" fillId="2" borderId="1" xfId="0" applyNumberFormat="1" applyFont="1" applyFill="1" applyBorder="1" applyAlignment="1">
      <alignment/>
    </xf>
    <xf numFmtId="40" fontId="0" fillId="2" borderId="2" xfId="0" applyNumberFormat="1" applyFont="1" applyFill="1" applyBorder="1" applyAlignment="1">
      <alignment/>
    </xf>
    <xf numFmtId="40" fontId="0" fillId="7" borderId="61" xfId="0" applyNumberFormat="1" applyFont="1" applyFill="1" applyBorder="1" applyAlignment="1">
      <alignment/>
    </xf>
    <xf numFmtId="40" fontId="1" fillId="7" borderId="61" xfId="0" applyNumberFormat="1" applyFont="1" applyFill="1" applyBorder="1" applyAlignment="1">
      <alignment/>
    </xf>
    <xf numFmtId="40" fontId="3" fillId="2" borderId="61" xfId="0" applyNumberFormat="1" applyFont="1" applyFill="1" applyBorder="1" applyAlignment="1">
      <alignment/>
    </xf>
    <xf numFmtId="40" fontId="3" fillId="2" borderId="49" xfId="0" applyNumberFormat="1" applyFont="1" applyFill="1" applyBorder="1" applyAlignment="1">
      <alignment/>
    </xf>
    <xf numFmtId="40" fontId="8" fillId="2" borderId="1" xfId="0" applyNumberFormat="1" applyFont="1" applyFill="1" applyBorder="1" applyAlignment="1">
      <alignment/>
    </xf>
    <xf numFmtId="40" fontId="1" fillId="7" borderId="61" xfId="0" applyNumberFormat="1" applyFont="1" applyFill="1" applyBorder="1" applyAlignment="1">
      <alignment/>
    </xf>
    <xf numFmtId="40" fontId="0" fillId="2" borderId="61" xfId="0" applyNumberFormat="1" applyFill="1" applyBorder="1" applyAlignment="1">
      <alignment/>
    </xf>
    <xf numFmtId="40" fontId="8" fillId="2" borderId="2" xfId="0" applyNumberFormat="1" applyFont="1" applyFill="1" applyBorder="1" applyAlignment="1">
      <alignment/>
    </xf>
    <xf numFmtId="9" fontId="1" fillId="7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0" fontId="1" fillId="3" borderId="1" xfId="19" applyNumberFormat="1" applyFont="1" applyFill="1" applyBorder="1" applyAlignment="1">
      <alignment/>
    </xf>
    <xf numFmtId="0" fontId="0" fillId="2" borderId="50" xfId="0" applyFill="1" applyBorder="1" applyAlignment="1">
      <alignment/>
    </xf>
    <xf numFmtId="0" fontId="7" fillId="7" borderId="24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9" fontId="0" fillId="2" borderId="1" xfId="19" applyFill="1" applyBorder="1" applyAlignment="1">
      <alignment/>
    </xf>
    <xf numFmtId="183" fontId="0" fillId="2" borderId="1" xfId="19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7" xfId="0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7" xfId="0" applyNumberFormat="1" applyFill="1" applyBorder="1" applyAlignment="1">
      <alignment/>
    </xf>
    <xf numFmtId="183" fontId="0" fillId="2" borderId="2" xfId="19" applyNumberFormat="1" applyFill="1" applyBorder="1" applyAlignment="1">
      <alignment/>
    </xf>
    <xf numFmtId="183" fontId="0" fillId="2" borderId="0" xfId="19" applyNumberFormat="1" applyFill="1" applyBorder="1" applyAlignment="1">
      <alignment/>
    </xf>
    <xf numFmtId="183" fontId="0" fillId="2" borderId="57" xfId="19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1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9" fontId="0" fillId="2" borderId="49" xfId="19" applyFill="1" applyBorder="1" applyAlignment="1">
      <alignment/>
    </xf>
    <xf numFmtId="9" fontId="0" fillId="2" borderId="49" xfId="0" applyNumberFormat="1" applyFill="1" applyBorder="1" applyAlignment="1">
      <alignment/>
    </xf>
    <xf numFmtId="164" fontId="0" fillId="2" borderId="49" xfId="0" applyNumberFormat="1" applyFill="1" applyBorder="1" applyAlignment="1">
      <alignment/>
    </xf>
    <xf numFmtId="9" fontId="0" fillId="2" borderId="9" xfId="19" applyFont="1" applyFill="1" applyBorder="1" applyAlignment="1">
      <alignment/>
    </xf>
    <xf numFmtId="168" fontId="0" fillId="2" borderId="27" xfId="0" applyNumberFormat="1" applyFont="1" applyFill="1" applyBorder="1" applyAlignment="1">
      <alignment/>
    </xf>
    <xf numFmtId="9" fontId="0" fillId="2" borderId="28" xfId="19" applyFont="1" applyFill="1" applyBorder="1" applyAlignment="1">
      <alignment/>
    </xf>
    <xf numFmtId="40" fontId="3" fillId="2" borderId="34" xfId="0" applyNumberFormat="1" applyFont="1" applyFill="1" applyBorder="1" applyAlignment="1">
      <alignment/>
    </xf>
    <xf numFmtId="40" fontId="0" fillId="2" borderId="45" xfId="0" applyNumberFormat="1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0" fillId="2" borderId="63" xfId="0" applyFill="1" applyBorder="1" applyAlignment="1">
      <alignment/>
    </xf>
    <xf numFmtId="0" fontId="0" fillId="2" borderId="44" xfId="0" applyFill="1" applyBorder="1" applyAlignment="1">
      <alignment/>
    </xf>
    <xf numFmtId="40" fontId="0" fillId="2" borderId="62" xfId="0" applyNumberFormat="1" applyFont="1" applyFill="1" applyBorder="1" applyAlignment="1">
      <alignment/>
    </xf>
    <xf numFmtId="40" fontId="0" fillId="2" borderId="46" xfId="0" applyNumberFormat="1" applyFont="1" applyFill="1" applyBorder="1" applyAlignment="1">
      <alignment/>
    </xf>
    <xf numFmtId="169" fontId="0" fillId="2" borderId="1" xfId="19" applyNumberFormat="1" applyFont="1" applyFill="1" applyBorder="1" applyAlignment="1">
      <alignment/>
    </xf>
    <xf numFmtId="169" fontId="0" fillId="2" borderId="3" xfId="19" applyNumberFormat="1" applyFont="1" applyFill="1" applyBorder="1" applyAlignment="1">
      <alignment/>
    </xf>
    <xf numFmtId="9" fontId="0" fillId="2" borderId="4" xfId="19" applyFill="1" applyBorder="1" applyAlignment="1">
      <alignment/>
    </xf>
    <xf numFmtId="9" fontId="0" fillId="2" borderId="2" xfId="19" applyFill="1" applyBorder="1" applyAlignment="1">
      <alignment horizontal="right"/>
    </xf>
    <xf numFmtId="9" fontId="0" fillId="2" borderId="4" xfId="19" applyFill="1" applyBorder="1" applyAlignment="1">
      <alignment horizontal="right"/>
    </xf>
    <xf numFmtId="0" fontId="0" fillId="0" borderId="58" xfId="0" applyFill="1" applyBorder="1" applyAlignment="1">
      <alignment/>
    </xf>
    <xf numFmtId="0" fontId="0" fillId="2" borderId="62" xfId="0" applyFill="1" applyBorder="1" applyAlignment="1">
      <alignment horizontal="left"/>
    </xf>
    <xf numFmtId="9" fontId="0" fillId="2" borderId="3" xfId="19" applyFill="1" applyBorder="1" applyAlignment="1">
      <alignment/>
    </xf>
    <xf numFmtId="0" fontId="1" fillId="0" borderId="0" xfId="0" applyFont="1" applyBorder="1" applyAlignment="1">
      <alignment/>
    </xf>
    <xf numFmtId="169" fontId="0" fillId="7" borderId="8" xfId="0" applyNumberFormat="1" applyFont="1" applyFill="1" applyBorder="1" applyAlignment="1">
      <alignment/>
    </xf>
    <xf numFmtId="169" fontId="0" fillId="7" borderId="9" xfId="0" applyNumberFormat="1" applyFont="1" applyFill="1" applyBorder="1" applyAlignment="1">
      <alignment/>
    </xf>
    <xf numFmtId="169" fontId="0" fillId="7" borderId="1" xfId="0" applyNumberFormat="1" applyFont="1" applyFill="1" applyBorder="1" applyAlignment="1">
      <alignment/>
    </xf>
    <xf numFmtId="169" fontId="0" fillId="7" borderId="2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9" fontId="0" fillId="7" borderId="0" xfId="0" applyNumberFormat="1" applyFill="1" applyBorder="1" applyAlignment="1">
      <alignment/>
    </xf>
    <xf numFmtId="9" fontId="1" fillId="0" borderId="1" xfId="19" applyFont="1" applyFill="1" applyBorder="1" applyAlignment="1">
      <alignment/>
    </xf>
    <xf numFmtId="0" fontId="0" fillId="2" borderId="35" xfId="0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40" fontId="0" fillId="2" borderId="49" xfId="0" applyNumberFormat="1" applyFont="1" applyFill="1" applyBorder="1" applyAlignment="1">
      <alignment/>
    </xf>
    <xf numFmtId="40" fontId="1" fillId="2" borderId="61" xfId="0" applyNumberFormat="1" applyFont="1" applyFill="1" applyBorder="1" applyAlignment="1">
      <alignment/>
    </xf>
    <xf numFmtId="40" fontId="1" fillId="2" borderId="49" xfId="0" applyNumberFormat="1" applyFont="1" applyFill="1" applyBorder="1" applyAlignment="1">
      <alignment/>
    </xf>
    <xf numFmtId="168" fontId="0" fillId="0" borderId="57" xfId="0" applyNumberFormat="1" applyBorder="1" applyAlignment="1">
      <alignment/>
    </xf>
    <xf numFmtId="168" fontId="0" fillId="0" borderId="58" xfId="0" applyNumberFormat="1" applyBorder="1" applyAlignment="1">
      <alignment/>
    </xf>
    <xf numFmtId="0" fontId="0" fillId="2" borderId="63" xfId="0" applyFill="1" applyBorder="1" applyAlignment="1">
      <alignment horizontal="left"/>
    </xf>
    <xf numFmtId="40" fontId="0" fillId="2" borderId="18" xfId="0" applyNumberFormat="1" applyFill="1" applyBorder="1" applyAlignment="1">
      <alignment/>
    </xf>
    <xf numFmtId="40" fontId="0" fillId="2" borderId="21" xfId="0" applyNumberFormat="1" applyFill="1" applyBorder="1" applyAlignment="1">
      <alignment/>
    </xf>
    <xf numFmtId="164" fontId="0" fillId="0" borderId="57" xfId="0" applyNumberForma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168" fontId="3" fillId="2" borderId="8" xfId="0" applyNumberFormat="1" applyFont="1" applyFill="1" applyBorder="1" applyAlignment="1">
      <alignment/>
    </xf>
    <xf numFmtId="168" fontId="3" fillId="2" borderId="9" xfId="0" applyNumberFormat="1" applyFont="1" applyFill="1" applyBorder="1" applyAlignment="1">
      <alignment/>
    </xf>
    <xf numFmtId="168" fontId="3" fillId="2" borderId="6" xfId="0" applyNumberFormat="1" applyFont="1" applyFill="1" applyBorder="1" applyAlignment="1">
      <alignment/>
    </xf>
    <xf numFmtId="168" fontId="3" fillId="2" borderId="7" xfId="0" applyNumberFormat="1" applyFont="1" applyFill="1" applyBorder="1" applyAlignment="1">
      <alignment/>
    </xf>
    <xf numFmtId="168" fontId="0" fillId="2" borderId="64" xfId="0" applyNumberFormat="1" applyFont="1" applyFill="1" applyBorder="1" applyAlignment="1">
      <alignment/>
    </xf>
    <xf numFmtId="9" fontId="0" fillId="2" borderId="2" xfId="19" applyFill="1" applyBorder="1" applyAlignment="1">
      <alignment/>
    </xf>
    <xf numFmtId="168" fontId="3" fillId="2" borderId="22" xfId="0" applyNumberFormat="1" applyFont="1" applyFill="1" applyBorder="1" applyAlignment="1">
      <alignment/>
    </xf>
    <xf numFmtId="168" fontId="3" fillId="2" borderId="23" xfId="0" applyNumberFormat="1" applyFont="1" applyFill="1" applyBorder="1" applyAlignment="1">
      <alignment/>
    </xf>
    <xf numFmtId="178" fontId="13" fillId="2" borderId="45" xfId="20" applyNumberFormat="1" applyFont="1" applyFill="1" applyBorder="1" applyAlignment="1">
      <alignment horizontal="center"/>
    </xf>
    <xf numFmtId="178" fontId="13" fillId="2" borderId="61" xfId="20" applyNumberFormat="1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6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54" xfId="0" applyFont="1" applyFill="1" applyBorder="1" applyAlignment="1">
      <alignment horizontal="center"/>
    </xf>
    <xf numFmtId="0" fontId="3" fillId="7" borderId="55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61" xfId="0" applyFill="1" applyBorder="1" applyAlignment="1">
      <alignment horizontal="left"/>
    </xf>
    <xf numFmtId="0" fontId="0" fillId="2" borderId="65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4" fontId="0" fillId="0" borderId="0" xfId="0" applyNumberFormat="1" applyFill="1" applyAlignment="1">
      <alignment/>
    </xf>
    <xf numFmtId="165" fontId="0" fillId="2" borderId="2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" fontId="0" fillId="0" borderId="0" xfId="19" applyNumberFormat="1" applyFill="1" applyAlignment="1">
      <alignment/>
    </xf>
    <xf numFmtId="0" fontId="0" fillId="0" borderId="0" xfId="0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rc&#237;cios%20Resolv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.a-Infs.Básicas"/>
      <sheetName val="P.1.b-Variáveis"/>
      <sheetName val="P.2-At.Perm+Pat.Líq."/>
      <sheetName val="P.3-Vendas"/>
      <sheetName val="P.4-Producao"/>
      <sheetName val="P.5-Mat. prima"/>
      <sheetName val="Q.6-Mão-de-obra Direta"/>
      <sheetName val="P.7-Custo Ind.Fab."/>
      <sheetName val="P.8-Custo Prod.e Custo Vendas"/>
      <sheetName val="P.9-D.Coms.&amp;Admins."/>
      <sheetName val="P.10-FluxoCaixa"/>
      <sheetName val="P.11-ResNOpers+DemRes"/>
      <sheetName val="P.12-Lanc.Cont."/>
      <sheetName val="P.13-Razão"/>
      <sheetName val="P.14-BALANÇO"/>
      <sheetName val="P.15-Dems.Fins."/>
      <sheetName val="P.16-Anal.Fin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B40" sqref="B40"/>
    </sheetView>
  </sheetViews>
  <sheetFormatPr defaultColWidth="9.140625" defaultRowHeight="12.75"/>
  <cols>
    <col min="1" max="1" width="48.28125" style="0" customWidth="1"/>
    <col min="2" max="2" width="11.57421875" style="0" customWidth="1"/>
    <col min="3" max="4" width="10.57421875" style="0" bestFit="1" customWidth="1"/>
    <col min="5" max="5" width="9.57421875" style="0" bestFit="1" customWidth="1"/>
    <col min="6" max="6" width="9.57421875" style="0" customWidth="1"/>
  </cols>
  <sheetData>
    <row r="1" spans="1:6" ht="13.5" thickBot="1">
      <c r="A1" s="644" t="s">
        <v>305</v>
      </c>
      <c r="B1" s="645"/>
      <c r="C1" s="645"/>
      <c r="D1" s="645"/>
      <c r="E1" s="645"/>
      <c r="F1" s="646"/>
    </row>
    <row r="2" spans="1:6" ht="12.75">
      <c r="A2" s="52" t="s">
        <v>303</v>
      </c>
      <c r="B2" s="336" t="s">
        <v>144</v>
      </c>
      <c r="C2" s="336" t="s">
        <v>145</v>
      </c>
      <c r="D2" s="336" t="s">
        <v>146</v>
      </c>
      <c r="E2" s="336" t="s">
        <v>147</v>
      </c>
      <c r="F2" s="337" t="s">
        <v>150</v>
      </c>
    </row>
    <row r="3" spans="1:6" ht="12.75">
      <c r="A3" s="42" t="s">
        <v>68</v>
      </c>
      <c r="B3" s="334">
        <v>0.03</v>
      </c>
      <c r="C3" s="335">
        <v>0.02</v>
      </c>
      <c r="D3" s="335">
        <v>0.03</v>
      </c>
      <c r="E3" s="335">
        <v>0.04</v>
      </c>
      <c r="F3" s="77"/>
    </row>
    <row r="4" spans="1:6" ht="12.75">
      <c r="A4" s="42" t="s">
        <v>640</v>
      </c>
      <c r="B4" s="334">
        <v>0.035</v>
      </c>
      <c r="C4" s="335">
        <v>0.02</v>
      </c>
      <c r="D4" s="335">
        <v>0.02</v>
      </c>
      <c r="E4" s="335">
        <v>0.03</v>
      </c>
      <c r="F4" s="77"/>
    </row>
    <row r="5" spans="1:6" ht="12.75">
      <c r="A5" s="42" t="s">
        <v>552</v>
      </c>
      <c r="B5" s="334">
        <v>0.1</v>
      </c>
      <c r="C5" s="532"/>
      <c r="D5" s="532"/>
      <c r="E5" s="532"/>
      <c r="F5" s="77"/>
    </row>
    <row r="6" spans="1:6" ht="12.75">
      <c r="A6" s="42" t="s">
        <v>104</v>
      </c>
      <c r="B6" s="334">
        <v>0.18</v>
      </c>
      <c r="C6" s="532"/>
      <c r="D6" s="532"/>
      <c r="E6" s="532"/>
      <c r="F6" s="77"/>
    </row>
    <row r="7" spans="1:6" ht="12.75">
      <c r="A7" s="42"/>
      <c r="B7" s="89"/>
      <c r="C7" s="67"/>
      <c r="D7" s="67" t="s">
        <v>342</v>
      </c>
      <c r="E7" s="67"/>
      <c r="F7" s="78"/>
    </row>
    <row r="8" spans="1:6" ht="12.75">
      <c r="A8" s="42"/>
      <c r="B8" s="89"/>
      <c r="C8" s="67"/>
      <c r="D8" s="86">
        <v>1</v>
      </c>
      <c r="E8" s="67"/>
      <c r="F8" s="338"/>
    </row>
    <row r="9" spans="1:6" ht="13.5" thickBot="1">
      <c r="A9" s="63" t="s">
        <v>281</v>
      </c>
      <c r="B9" s="388">
        <v>70</v>
      </c>
      <c r="C9" s="389"/>
      <c r="D9" s="390">
        <v>1</v>
      </c>
      <c r="E9" s="391"/>
      <c r="F9" s="387"/>
    </row>
    <row r="10" spans="1:6" ht="12.75">
      <c r="A10" s="46" t="s">
        <v>317</v>
      </c>
      <c r="B10" s="81">
        <f>$B$15</f>
        <v>0</v>
      </c>
      <c r="C10" s="81">
        <f>$C$15</f>
        <v>0</v>
      </c>
      <c r="D10" s="81">
        <f>$D$15</f>
        <v>0</v>
      </c>
      <c r="E10" s="382">
        <f>$E$15</f>
        <v>0</v>
      </c>
      <c r="F10" s="76"/>
    </row>
    <row r="11" spans="1:6" ht="12.75">
      <c r="A11" s="53" t="s">
        <v>318</v>
      </c>
      <c r="B11" s="393">
        <v>0.08</v>
      </c>
      <c r="C11" s="263">
        <f aca="true" t="shared" si="0" ref="C11:E14">B11</f>
        <v>0.08</v>
      </c>
      <c r="D11" s="263">
        <f t="shared" si="0"/>
        <v>0.08</v>
      </c>
      <c r="E11" s="383">
        <f t="shared" si="0"/>
        <v>0.08</v>
      </c>
      <c r="F11" s="77"/>
    </row>
    <row r="12" spans="1:6" ht="12.75">
      <c r="A12" s="53" t="s">
        <v>319</v>
      </c>
      <c r="B12" s="393">
        <v>0.15</v>
      </c>
      <c r="C12" s="263">
        <f t="shared" si="0"/>
        <v>0.15</v>
      </c>
      <c r="D12" s="263">
        <f t="shared" si="0"/>
        <v>0.15</v>
      </c>
      <c r="E12" s="383">
        <f t="shared" si="0"/>
        <v>0.15</v>
      </c>
      <c r="F12" s="77"/>
    </row>
    <row r="13" spans="1:6" ht="13.5" thickBot="1">
      <c r="A13" s="50" t="s">
        <v>320</v>
      </c>
      <c r="B13" s="367">
        <f>B11+B12</f>
        <v>0.22999999999999998</v>
      </c>
      <c r="C13" s="367">
        <f t="shared" si="0"/>
        <v>0.22999999999999998</v>
      </c>
      <c r="D13" s="367">
        <f t="shared" si="0"/>
        <v>0.22999999999999998</v>
      </c>
      <c r="E13" s="384">
        <f t="shared" si="0"/>
        <v>0.22999999999999998</v>
      </c>
      <c r="F13" s="77"/>
    </row>
    <row r="14" spans="1:6" ht="13.5" thickBot="1">
      <c r="A14" s="43" t="s">
        <v>327</v>
      </c>
      <c r="B14" s="380">
        <v>0.17</v>
      </c>
      <c r="C14" s="377">
        <f t="shared" si="0"/>
        <v>0.17</v>
      </c>
      <c r="D14" s="377">
        <f t="shared" si="0"/>
        <v>0.17</v>
      </c>
      <c r="E14" s="392">
        <f t="shared" si="0"/>
        <v>0.17</v>
      </c>
      <c r="F14" s="387"/>
    </row>
    <row r="15" spans="1:6" ht="12.75">
      <c r="A15" s="46" t="s">
        <v>321</v>
      </c>
      <c r="B15" s="374"/>
      <c r="C15" s="375"/>
      <c r="D15" s="375"/>
      <c r="E15" s="385"/>
      <c r="F15" s="76"/>
    </row>
    <row r="16" spans="1:6" ht="12.75">
      <c r="A16" s="53" t="s">
        <v>318</v>
      </c>
      <c r="B16" s="393">
        <v>0.22</v>
      </c>
      <c r="C16" s="369">
        <f aca="true" t="shared" si="1" ref="C16:E22">B16</f>
        <v>0.22</v>
      </c>
      <c r="D16" s="369">
        <f t="shared" si="1"/>
        <v>0.22</v>
      </c>
      <c r="E16" s="386">
        <f t="shared" si="1"/>
        <v>0.22</v>
      </c>
      <c r="F16" s="77"/>
    </row>
    <row r="17" spans="1:6" ht="12.75">
      <c r="A17" s="53" t="s">
        <v>322</v>
      </c>
      <c r="B17" s="393">
        <v>0.08</v>
      </c>
      <c r="C17" s="369">
        <f t="shared" si="1"/>
        <v>0.08</v>
      </c>
      <c r="D17" s="369">
        <f t="shared" si="1"/>
        <v>0.08</v>
      </c>
      <c r="E17" s="386">
        <f t="shared" si="1"/>
        <v>0.08</v>
      </c>
      <c r="F17" s="77"/>
    </row>
    <row r="18" spans="1:6" ht="12.75">
      <c r="A18" s="53" t="s">
        <v>339</v>
      </c>
      <c r="B18" s="393">
        <v>0.01</v>
      </c>
      <c r="C18" s="263">
        <v>0.01</v>
      </c>
      <c r="D18" s="263">
        <v>0.01</v>
      </c>
      <c r="E18" s="383">
        <v>0.01</v>
      </c>
      <c r="F18" s="77"/>
    </row>
    <row r="19" spans="1:6" ht="12.75">
      <c r="A19" s="53" t="s">
        <v>323</v>
      </c>
      <c r="B19" s="393">
        <f>1.33/11</f>
        <v>0.12090909090909091</v>
      </c>
      <c r="C19" s="369">
        <f t="shared" si="1"/>
        <v>0.12090909090909091</v>
      </c>
      <c r="D19" s="369">
        <f t="shared" si="1"/>
        <v>0.12090909090909091</v>
      </c>
      <c r="E19" s="386">
        <f t="shared" si="1"/>
        <v>0.12090909090909091</v>
      </c>
      <c r="F19" s="77"/>
    </row>
    <row r="20" spans="1:6" ht="12.75">
      <c r="A20" s="53" t="s">
        <v>324</v>
      </c>
      <c r="B20" s="393">
        <v>0.09</v>
      </c>
      <c r="C20" s="369">
        <f t="shared" si="1"/>
        <v>0.09</v>
      </c>
      <c r="D20" s="369">
        <f t="shared" si="1"/>
        <v>0.09</v>
      </c>
      <c r="E20" s="386">
        <f t="shared" si="1"/>
        <v>0.09</v>
      </c>
      <c r="F20" s="77"/>
    </row>
    <row r="21" spans="1:6" ht="12.75">
      <c r="A21" s="53" t="s">
        <v>340</v>
      </c>
      <c r="B21" s="263">
        <f>0.4*B17</f>
        <v>0.032</v>
      </c>
      <c r="C21" s="263">
        <f>0.4*C17</f>
        <v>0.032</v>
      </c>
      <c r="D21" s="263">
        <f>0.4*D17</f>
        <v>0.032</v>
      </c>
      <c r="E21" s="383">
        <f>0.4*E17</f>
        <v>0.032</v>
      </c>
      <c r="F21" s="77"/>
    </row>
    <row r="22" spans="1:6" ht="12.75">
      <c r="A22" s="53" t="s">
        <v>325</v>
      </c>
      <c r="B22" s="393">
        <v>0.01</v>
      </c>
      <c r="C22" s="369">
        <f t="shared" si="1"/>
        <v>0.01</v>
      </c>
      <c r="D22" s="369">
        <f t="shared" si="1"/>
        <v>0.01</v>
      </c>
      <c r="E22" s="386">
        <f t="shared" si="1"/>
        <v>0.01</v>
      </c>
      <c r="F22" s="77"/>
    </row>
    <row r="23" spans="1:6" ht="13.5" thickBot="1">
      <c r="A23" s="50" t="s">
        <v>326</v>
      </c>
      <c r="B23" s="367">
        <f>SUM(B15:B22)</f>
        <v>0.5629090909090909</v>
      </c>
      <c r="C23" s="367">
        <f>SUM(C15:C22)</f>
        <v>0.5629090909090909</v>
      </c>
      <c r="D23" s="367">
        <f>SUM(D15:D22)</f>
        <v>0.5629090909090909</v>
      </c>
      <c r="E23" s="384">
        <f>SUM(E15:E22)</f>
        <v>0.5629090909090909</v>
      </c>
      <c r="F23" s="77"/>
    </row>
    <row r="24" spans="1:6" ht="12.75">
      <c r="A24" s="381" t="s">
        <v>341</v>
      </c>
      <c r="B24" s="395"/>
      <c r="C24" s="395">
        <v>0.02</v>
      </c>
      <c r="D24" s="395"/>
      <c r="E24" s="396"/>
      <c r="F24" s="77"/>
    </row>
    <row r="25" spans="1:6" ht="12.75">
      <c r="A25" s="53" t="s">
        <v>316</v>
      </c>
      <c r="B25" s="69">
        <f>1*(1+B24)</f>
        <v>1</v>
      </c>
      <c r="C25" s="89">
        <f>B25*(1+C24)</f>
        <v>1.02</v>
      </c>
      <c r="D25" s="89">
        <f>C25*(1+D24)</f>
        <v>1.02</v>
      </c>
      <c r="E25" s="379">
        <f>D25*(1+E24)</f>
        <v>1.02</v>
      </c>
      <c r="F25" s="77"/>
    </row>
    <row r="26" spans="1:6" ht="13.5" thickBot="1">
      <c r="A26" s="296" t="s">
        <v>310</v>
      </c>
      <c r="B26" s="394">
        <v>5</v>
      </c>
      <c r="C26" s="149">
        <f>$B26*C25</f>
        <v>5.1</v>
      </c>
      <c r="D26" s="149">
        <f>$B26*D25</f>
        <v>5.1</v>
      </c>
      <c r="E26" s="149">
        <f>$B26*E25</f>
        <v>5.1</v>
      </c>
      <c r="F26" s="183"/>
    </row>
    <row r="29" ht="13.5" thickBot="1"/>
    <row r="30" spans="1:6" ht="13.5" thickBot="1">
      <c r="A30" s="647" t="s">
        <v>306</v>
      </c>
      <c r="B30" s="648"/>
      <c r="C30" s="648"/>
      <c r="D30" s="648"/>
      <c r="E30" s="648"/>
      <c r="F30" s="649"/>
    </row>
    <row r="31" spans="1:6" ht="12.75">
      <c r="A31" s="61" t="s">
        <v>258</v>
      </c>
      <c r="B31" s="360">
        <v>0.5</v>
      </c>
      <c r="C31" s="75"/>
      <c r="D31" s="75"/>
      <c r="E31" s="75"/>
      <c r="F31" s="76"/>
    </row>
    <row r="32" spans="1:6" ht="12.75">
      <c r="A32" s="42" t="s">
        <v>256</v>
      </c>
      <c r="B32" s="315">
        <v>500</v>
      </c>
      <c r="C32" s="67"/>
      <c r="D32" s="67"/>
      <c r="E32" s="67"/>
      <c r="F32" s="77"/>
    </row>
    <row r="33" spans="1:6" ht="12.75">
      <c r="A33" s="42" t="s">
        <v>257</v>
      </c>
      <c r="B33" s="316">
        <v>70</v>
      </c>
      <c r="C33" s="67"/>
      <c r="D33" s="67"/>
      <c r="E33" s="67"/>
      <c r="F33" s="77"/>
    </row>
    <row r="34" spans="1:6" ht="12.75">
      <c r="A34" s="42" t="s">
        <v>259</v>
      </c>
      <c r="B34" s="361">
        <v>0.25</v>
      </c>
      <c r="C34" s="67"/>
      <c r="D34" s="67"/>
      <c r="E34" s="67"/>
      <c r="F34" s="77"/>
    </row>
    <row r="35" spans="1:6" ht="12.75">
      <c r="A35" s="332"/>
      <c r="B35" s="327"/>
      <c r="C35" s="327"/>
      <c r="D35" s="327"/>
      <c r="E35" s="327"/>
      <c r="F35" s="333"/>
    </row>
    <row r="36" spans="1:6" ht="12.75">
      <c r="A36" s="42" t="s">
        <v>142</v>
      </c>
      <c r="B36" s="328">
        <v>250</v>
      </c>
      <c r="C36" s="67"/>
      <c r="D36" s="67" t="s">
        <v>343</v>
      </c>
      <c r="E36" s="67"/>
      <c r="F36" s="77"/>
    </row>
    <row r="37" spans="1:6" ht="12.75">
      <c r="A37" s="42" t="s">
        <v>5</v>
      </c>
      <c r="B37" s="89"/>
      <c r="C37" s="67"/>
      <c r="D37" s="86">
        <v>1</v>
      </c>
      <c r="E37" s="329"/>
      <c r="F37" s="77"/>
    </row>
    <row r="38" spans="1:6" ht="12.75">
      <c r="A38" s="42" t="s">
        <v>6</v>
      </c>
      <c r="B38" s="89"/>
      <c r="C38" s="67"/>
      <c r="D38" s="55">
        <v>3</v>
      </c>
      <c r="E38" s="330"/>
      <c r="F38" s="77"/>
    </row>
    <row r="39" spans="1:6" ht="12.75">
      <c r="A39" s="42" t="s">
        <v>604</v>
      </c>
      <c r="B39" s="549">
        <v>0.01</v>
      </c>
      <c r="C39" s="548"/>
      <c r="D39" s="548"/>
      <c r="E39" s="548"/>
      <c r="F39" s="295"/>
    </row>
    <row r="40" spans="1:6" ht="12.75">
      <c r="A40" s="42" t="s">
        <v>445</v>
      </c>
      <c r="B40" s="55">
        <v>11000</v>
      </c>
      <c r="C40" s="55">
        <v>12000</v>
      </c>
      <c r="D40" s="55">
        <v>13000</v>
      </c>
      <c r="E40" s="55">
        <v>14000</v>
      </c>
      <c r="F40" s="317">
        <v>12000</v>
      </c>
    </row>
    <row r="41" spans="1:6" ht="12.75">
      <c r="A41" s="53" t="s">
        <v>116</v>
      </c>
      <c r="B41" s="97">
        <v>90</v>
      </c>
      <c r="C41" s="97">
        <v>91</v>
      </c>
      <c r="D41" s="97">
        <v>92</v>
      </c>
      <c r="E41" s="97">
        <v>91</v>
      </c>
      <c r="F41" s="317">
        <v>90</v>
      </c>
    </row>
    <row r="42" spans="1:6" ht="12.75">
      <c r="A42" s="42" t="s">
        <v>118</v>
      </c>
      <c r="B42" s="331">
        <v>450</v>
      </c>
      <c r="C42" s="89"/>
      <c r="D42" s="89"/>
      <c r="E42" s="89"/>
      <c r="F42" s="77"/>
    </row>
    <row r="43" spans="1:6" ht="12.75">
      <c r="A43" s="53" t="s">
        <v>304</v>
      </c>
      <c r="B43" s="55">
        <v>20</v>
      </c>
      <c r="C43" s="55">
        <v>20</v>
      </c>
      <c r="D43" s="55">
        <v>20</v>
      </c>
      <c r="E43" s="55">
        <v>20</v>
      </c>
      <c r="F43" s="317">
        <v>20</v>
      </c>
    </row>
    <row r="44" spans="1:6" ht="12.75">
      <c r="A44" s="53" t="s">
        <v>519</v>
      </c>
      <c r="B44" s="55">
        <v>100</v>
      </c>
      <c r="C44" s="67"/>
      <c r="D44" s="67"/>
      <c r="E44" s="67"/>
      <c r="F44" s="77"/>
    </row>
    <row r="45" spans="1:6" ht="12.75">
      <c r="A45" s="53" t="s">
        <v>520</v>
      </c>
      <c r="B45" s="170">
        <v>100</v>
      </c>
      <c r="C45" s="67"/>
      <c r="D45" s="67"/>
      <c r="E45" s="67"/>
      <c r="F45" s="77"/>
    </row>
    <row r="46" spans="1:6" ht="12.75">
      <c r="A46" s="53" t="s">
        <v>521</v>
      </c>
      <c r="B46" s="151">
        <v>150</v>
      </c>
      <c r="C46" s="67"/>
      <c r="D46" s="67"/>
      <c r="E46" s="67"/>
      <c r="F46" s="77"/>
    </row>
    <row r="47" spans="1:6" ht="12.75">
      <c r="A47" s="53" t="s">
        <v>522</v>
      </c>
      <c r="B47" s="170">
        <v>80</v>
      </c>
      <c r="C47" s="67"/>
      <c r="D47" s="67"/>
      <c r="E47" s="67"/>
      <c r="F47" s="77"/>
    </row>
    <row r="48" spans="1:6" ht="12.75">
      <c r="A48" s="53" t="s">
        <v>267</v>
      </c>
      <c r="B48" s="86">
        <v>3</v>
      </c>
      <c r="C48" s="86">
        <f>B48</f>
        <v>3</v>
      </c>
      <c r="D48" s="86">
        <f>C48</f>
        <v>3</v>
      </c>
      <c r="E48" s="86">
        <f>D48</f>
        <v>3</v>
      </c>
      <c r="F48" s="185">
        <f>E48</f>
        <v>3</v>
      </c>
    </row>
    <row r="49" spans="1:6" ht="12.75">
      <c r="A49" s="53" t="s">
        <v>308</v>
      </c>
      <c r="B49" s="55">
        <v>20</v>
      </c>
      <c r="C49" s="55">
        <v>0</v>
      </c>
      <c r="D49" s="55">
        <v>0</v>
      </c>
      <c r="E49" s="55">
        <v>0</v>
      </c>
      <c r="F49" s="77"/>
    </row>
    <row r="50" spans="1:6" ht="12.75">
      <c r="A50" s="53" t="s">
        <v>523</v>
      </c>
      <c r="B50" s="55">
        <v>200</v>
      </c>
      <c r="C50" s="55">
        <v>0</v>
      </c>
      <c r="D50" s="55">
        <v>0</v>
      </c>
      <c r="E50" s="55">
        <v>0</v>
      </c>
      <c r="F50" s="77"/>
    </row>
    <row r="51" spans="1:6" ht="12.75">
      <c r="A51" s="53" t="s">
        <v>307</v>
      </c>
      <c r="B51" s="55">
        <v>100</v>
      </c>
      <c r="C51" s="62"/>
      <c r="D51" s="62"/>
      <c r="E51" s="62"/>
      <c r="F51" s="295"/>
    </row>
    <row r="52" spans="1:6" ht="12.75">
      <c r="A52" s="42" t="s">
        <v>31</v>
      </c>
      <c r="B52" s="170">
        <v>200</v>
      </c>
      <c r="C52" s="89"/>
      <c r="D52" s="89"/>
      <c r="E52" s="89"/>
      <c r="F52" s="77"/>
    </row>
    <row r="53" spans="1:6" ht="12.75">
      <c r="A53" s="53" t="s">
        <v>296</v>
      </c>
      <c r="B53" s="170">
        <v>10000</v>
      </c>
      <c r="C53" s="62"/>
      <c r="D53" s="62"/>
      <c r="E53" s="62"/>
      <c r="F53" s="77"/>
    </row>
    <row r="54" spans="1:6" ht="12.75">
      <c r="A54" s="53" t="s">
        <v>312</v>
      </c>
      <c r="B54" s="331">
        <v>0.5</v>
      </c>
      <c r="C54" s="331">
        <f>B54</f>
        <v>0.5</v>
      </c>
      <c r="D54" s="331">
        <f>C54</f>
        <v>0.5</v>
      </c>
      <c r="E54" s="331">
        <v>1</v>
      </c>
      <c r="F54" s="481"/>
    </row>
    <row r="55" spans="1:6" s="17" customFormat="1" ht="12.75">
      <c r="A55" s="399" t="s">
        <v>345</v>
      </c>
      <c r="B55" s="405"/>
      <c r="C55" s="67"/>
      <c r="D55" s="67"/>
      <c r="E55" s="67"/>
      <c r="F55" s="77"/>
    </row>
    <row r="56" spans="1:6" ht="12.75">
      <c r="A56" s="416" t="s">
        <v>346</v>
      </c>
      <c r="B56" s="482">
        <v>2000</v>
      </c>
      <c r="C56" s="67"/>
      <c r="D56" s="67"/>
      <c r="E56" s="67"/>
      <c r="F56" s="77"/>
    </row>
    <row r="57" spans="1:6" ht="12.75">
      <c r="A57" s="416" t="s">
        <v>347</v>
      </c>
      <c r="B57" s="482">
        <v>3000</v>
      </c>
      <c r="C57" s="67"/>
      <c r="D57" s="67"/>
      <c r="E57" s="67"/>
      <c r="F57" s="77"/>
    </row>
    <row r="58" spans="1:6" ht="12.75">
      <c r="A58" s="416" t="s">
        <v>348</v>
      </c>
      <c r="B58" s="482">
        <v>6000</v>
      </c>
      <c r="C58" s="67"/>
      <c r="D58" s="67"/>
      <c r="E58" s="67"/>
      <c r="F58" s="77"/>
    </row>
    <row r="59" spans="1:6" ht="12.75">
      <c r="A59" s="416" t="s">
        <v>349</v>
      </c>
      <c r="B59" s="482">
        <v>3000</v>
      </c>
      <c r="C59" s="67"/>
      <c r="D59" s="67"/>
      <c r="E59" s="67"/>
      <c r="F59" s="77"/>
    </row>
    <row r="60" spans="1:6" ht="12.75">
      <c r="A60" s="416" t="s">
        <v>350</v>
      </c>
      <c r="B60" s="482">
        <v>1000</v>
      </c>
      <c r="C60" s="67"/>
      <c r="D60" s="67"/>
      <c r="E60" s="67"/>
      <c r="F60" s="77"/>
    </row>
    <row r="61" spans="1:6" ht="12.75">
      <c r="A61" s="416" t="s">
        <v>351</v>
      </c>
      <c r="B61" s="482">
        <v>2000</v>
      </c>
      <c r="C61" s="67"/>
      <c r="D61" s="67"/>
      <c r="E61" s="67"/>
      <c r="F61" s="77"/>
    </row>
    <row r="62" spans="1:6" ht="12.75">
      <c r="A62" s="416" t="s">
        <v>352</v>
      </c>
      <c r="B62" s="482">
        <v>1000</v>
      </c>
      <c r="C62" s="67"/>
      <c r="D62" s="67"/>
      <c r="E62" s="67"/>
      <c r="F62" s="77"/>
    </row>
    <row r="63" spans="1:6" ht="12.75">
      <c r="A63" s="416" t="s">
        <v>353</v>
      </c>
      <c r="B63" s="483">
        <v>1000</v>
      </c>
      <c r="C63" s="67"/>
      <c r="D63" s="67"/>
      <c r="E63" s="67"/>
      <c r="F63" s="77"/>
    </row>
    <row r="64" spans="1:6" ht="12.75">
      <c r="A64" s="416" t="s">
        <v>354</v>
      </c>
      <c r="B64" s="483">
        <v>1000</v>
      </c>
      <c r="C64" s="67"/>
      <c r="D64" s="67"/>
      <c r="E64" s="67"/>
      <c r="F64" s="77"/>
    </row>
    <row r="65" spans="1:6" ht="12.75">
      <c r="A65" s="416" t="s">
        <v>355</v>
      </c>
      <c r="B65" s="452">
        <f>SUM(B56:B64)</f>
        <v>20000</v>
      </c>
      <c r="C65" s="67"/>
      <c r="D65" s="67"/>
      <c r="E65" s="67"/>
      <c r="F65" s="77"/>
    </row>
    <row r="66" spans="1:6" ht="12.75">
      <c r="A66" s="399" t="s">
        <v>356</v>
      </c>
      <c r="B66" s="423"/>
      <c r="C66" s="67"/>
      <c r="D66" s="67"/>
      <c r="E66" s="67"/>
      <c r="F66" s="77"/>
    </row>
    <row r="67" spans="1:6" ht="12.75">
      <c r="A67" s="416" t="s">
        <v>346</v>
      </c>
      <c r="B67" s="482">
        <v>2000</v>
      </c>
      <c r="C67" s="67"/>
      <c r="D67" s="67"/>
      <c r="E67" s="67"/>
      <c r="F67" s="77"/>
    </row>
    <row r="68" spans="1:6" ht="12.75">
      <c r="A68" s="416" t="s">
        <v>347</v>
      </c>
      <c r="B68" s="482">
        <v>3000</v>
      </c>
      <c r="C68" s="67"/>
      <c r="D68" s="67"/>
      <c r="E68" s="67"/>
      <c r="F68" s="77"/>
    </row>
    <row r="69" spans="1:6" ht="12.75">
      <c r="A69" s="416" t="s">
        <v>348</v>
      </c>
      <c r="B69" s="482">
        <v>3000</v>
      </c>
      <c r="C69" s="67"/>
      <c r="D69" s="67"/>
      <c r="E69" s="67"/>
      <c r="F69" s="77"/>
    </row>
    <row r="70" spans="1:6" ht="12.75">
      <c r="A70" s="416" t="s">
        <v>349</v>
      </c>
      <c r="B70" s="482">
        <v>1000</v>
      </c>
      <c r="C70" s="67"/>
      <c r="D70" s="67"/>
      <c r="E70" s="67"/>
      <c r="F70" s="77"/>
    </row>
    <row r="71" spans="1:6" ht="12.75">
      <c r="A71" s="416" t="s">
        <v>350</v>
      </c>
      <c r="B71" s="482">
        <v>2000</v>
      </c>
      <c r="C71" s="67"/>
      <c r="D71" s="67"/>
      <c r="E71" s="67"/>
      <c r="F71" s="77"/>
    </row>
    <row r="72" spans="1:6" ht="12.75">
      <c r="A72" s="416" t="s">
        <v>351</v>
      </c>
      <c r="B72" s="482">
        <v>1000</v>
      </c>
      <c r="C72" s="67"/>
      <c r="D72" s="67"/>
      <c r="E72" s="67"/>
      <c r="F72" s="77"/>
    </row>
    <row r="73" spans="1:6" ht="12.75">
      <c r="A73" s="416" t="s">
        <v>352</v>
      </c>
      <c r="B73" s="483">
        <v>1000</v>
      </c>
      <c r="C73" s="67"/>
      <c r="D73" s="67"/>
      <c r="E73" s="67"/>
      <c r="F73" s="77"/>
    </row>
    <row r="74" spans="1:6" ht="12.75">
      <c r="A74" s="416" t="s">
        <v>353</v>
      </c>
      <c r="B74" s="483">
        <v>1000</v>
      </c>
      <c r="C74" s="67"/>
      <c r="D74" s="67"/>
      <c r="E74" s="67"/>
      <c r="F74" s="77"/>
    </row>
    <row r="75" spans="1:6" ht="12.75">
      <c r="A75" s="416" t="s">
        <v>354</v>
      </c>
      <c r="B75" s="484">
        <v>0</v>
      </c>
      <c r="C75" s="67"/>
      <c r="D75" s="67"/>
      <c r="E75" s="67"/>
      <c r="F75" s="77"/>
    </row>
    <row r="76" spans="1:6" ht="12.75">
      <c r="A76" s="399" t="s">
        <v>467</v>
      </c>
      <c r="B76" s="402" t="s">
        <v>371</v>
      </c>
      <c r="C76" s="402" t="s">
        <v>370</v>
      </c>
      <c r="D76" s="67"/>
      <c r="E76" s="67"/>
      <c r="F76" s="77"/>
    </row>
    <row r="77" spans="1:6" ht="12.75">
      <c r="A77" s="399" t="s">
        <v>465</v>
      </c>
      <c r="B77" s="485">
        <v>70</v>
      </c>
      <c r="C77" s="485">
        <v>0</v>
      </c>
      <c r="D77" s="67"/>
      <c r="E77" s="67"/>
      <c r="F77" s="77"/>
    </row>
    <row r="78" spans="1:6" ht="12.75">
      <c r="A78" s="399" t="s">
        <v>368</v>
      </c>
      <c r="B78" s="485">
        <v>15</v>
      </c>
      <c r="C78" s="485">
        <v>40</v>
      </c>
      <c r="D78" s="67"/>
      <c r="E78" s="67"/>
      <c r="F78" s="77"/>
    </row>
    <row r="79" spans="1:6" ht="12.75">
      <c r="A79" s="399" t="s">
        <v>369</v>
      </c>
      <c r="B79" s="485">
        <v>15</v>
      </c>
      <c r="C79" s="485">
        <v>60</v>
      </c>
      <c r="D79" s="67"/>
      <c r="E79" s="67"/>
      <c r="F79" s="77"/>
    </row>
    <row r="80" spans="1:6" ht="12.75">
      <c r="A80" s="399" t="s">
        <v>468</v>
      </c>
      <c r="B80" s="486">
        <f>SUM(B77:B79)</f>
        <v>100</v>
      </c>
      <c r="C80" s="486">
        <f>SUM(C77:C79)</f>
        <v>100</v>
      </c>
      <c r="D80" s="67"/>
      <c r="E80" s="67"/>
      <c r="F80" s="77"/>
    </row>
    <row r="81" spans="1:6" ht="12.75">
      <c r="A81" s="399" t="s">
        <v>476</v>
      </c>
      <c r="B81" s="402" t="s">
        <v>479</v>
      </c>
      <c r="C81" s="67"/>
      <c r="D81" s="67"/>
      <c r="E81" s="67"/>
      <c r="F81" s="77"/>
    </row>
    <row r="82" spans="1:6" ht="12.75">
      <c r="A82" s="399" t="s">
        <v>477</v>
      </c>
      <c r="B82" s="485">
        <v>21</v>
      </c>
      <c r="C82" s="67"/>
      <c r="D82" s="67"/>
      <c r="E82" s="67"/>
      <c r="F82" s="77"/>
    </row>
    <row r="83" spans="1:6" ht="12.75">
      <c r="A83" s="399" t="s">
        <v>478</v>
      </c>
      <c r="B83" s="485">
        <v>49</v>
      </c>
      <c r="C83" s="67"/>
      <c r="D83" s="67"/>
      <c r="E83" s="67"/>
      <c r="F83" s="77"/>
    </row>
    <row r="84" spans="1:6" ht="12.75">
      <c r="A84" s="399" t="s">
        <v>468</v>
      </c>
      <c r="B84" s="480">
        <f>B77</f>
        <v>70</v>
      </c>
      <c r="C84" s="67"/>
      <c r="D84" s="67"/>
      <c r="E84" s="67"/>
      <c r="F84" s="77"/>
    </row>
    <row r="85" spans="1:6" ht="12.75">
      <c r="A85" s="416"/>
      <c r="B85" s="442" t="s">
        <v>388</v>
      </c>
      <c r="C85" s="405" t="s">
        <v>389</v>
      </c>
      <c r="D85" s="442" t="s">
        <v>388</v>
      </c>
      <c r="E85" s="405" t="s">
        <v>389</v>
      </c>
      <c r="F85" s="77"/>
    </row>
    <row r="86" spans="1:6" ht="12.75">
      <c r="A86" s="416"/>
      <c r="B86" s="442" t="s">
        <v>390</v>
      </c>
      <c r="C86" s="405" t="s">
        <v>391</v>
      </c>
      <c r="D86" s="442" t="s">
        <v>390</v>
      </c>
      <c r="E86" s="405" t="s">
        <v>391</v>
      </c>
      <c r="F86" s="77"/>
    </row>
    <row r="87" spans="1:6" ht="12.75">
      <c r="A87" s="399" t="s">
        <v>469</v>
      </c>
      <c r="B87" s="642" t="s">
        <v>470</v>
      </c>
      <c r="C87" s="643"/>
      <c r="D87" s="642" t="s">
        <v>471</v>
      </c>
      <c r="E87" s="643"/>
      <c r="F87" s="77"/>
    </row>
    <row r="88" spans="1:6" ht="12.75">
      <c r="A88" s="416" t="s">
        <v>393</v>
      </c>
      <c r="B88" s="482">
        <v>2000</v>
      </c>
      <c r="C88" s="482"/>
      <c r="D88" s="482">
        <v>2000</v>
      </c>
      <c r="E88" s="482"/>
      <c r="F88" s="77"/>
    </row>
    <row r="89" spans="1:6" ht="12.75">
      <c r="A89" s="416" t="s">
        <v>394</v>
      </c>
      <c r="B89" s="482"/>
      <c r="C89" s="482"/>
      <c r="D89" s="482"/>
      <c r="E89" s="482"/>
      <c r="F89" s="77"/>
    </row>
    <row r="90" spans="1:6" ht="12.75">
      <c r="A90" s="416" t="s">
        <v>395</v>
      </c>
      <c r="B90" s="482">
        <v>10000</v>
      </c>
      <c r="C90" s="482"/>
      <c r="D90" s="482">
        <v>4000</v>
      </c>
      <c r="E90" s="482">
        <v>102.5</v>
      </c>
      <c r="F90" s="77"/>
    </row>
    <row r="91" spans="1:6" ht="12.75">
      <c r="A91" s="416" t="s">
        <v>396</v>
      </c>
      <c r="B91" s="482">
        <v>12000</v>
      </c>
      <c r="C91" s="482"/>
      <c r="D91" s="482">
        <v>6000</v>
      </c>
      <c r="E91" s="482">
        <v>51.25</v>
      </c>
      <c r="F91" s="77"/>
    </row>
    <row r="92" spans="1:6" ht="12.75">
      <c r="A92" s="416" t="s">
        <v>397</v>
      </c>
      <c r="B92" s="482">
        <v>900</v>
      </c>
      <c r="C92" s="482">
        <v>1.86</v>
      </c>
      <c r="D92" s="482"/>
      <c r="E92" s="482"/>
      <c r="F92" s="77"/>
    </row>
    <row r="93" spans="1:6" ht="12.75">
      <c r="A93" s="416" t="s">
        <v>398</v>
      </c>
      <c r="B93" s="482">
        <v>370</v>
      </c>
      <c r="C93" s="482">
        <v>0.93</v>
      </c>
      <c r="D93" s="482"/>
      <c r="E93" s="482"/>
      <c r="F93" s="77"/>
    </row>
    <row r="94" spans="1:6" ht="12.75">
      <c r="A94" s="416" t="s">
        <v>399</v>
      </c>
      <c r="B94" s="482"/>
      <c r="C94" s="482"/>
      <c r="D94" s="482"/>
      <c r="E94" s="482"/>
      <c r="F94" s="77"/>
    </row>
    <row r="95" spans="1:6" ht="12.75">
      <c r="A95" s="416" t="s">
        <v>400</v>
      </c>
      <c r="B95" s="482"/>
      <c r="C95" s="482"/>
      <c r="D95" s="482">
        <v>2325</v>
      </c>
      <c r="E95" s="482">
        <v>7.22</v>
      </c>
      <c r="F95" s="77"/>
    </row>
    <row r="96" spans="1:6" ht="12.75">
      <c r="A96" s="416" t="s">
        <v>401</v>
      </c>
      <c r="B96" s="482"/>
      <c r="C96" s="482"/>
      <c r="D96" s="482"/>
      <c r="E96" s="482"/>
      <c r="F96" s="77"/>
    </row>
    <row r="97" spans="1:6" ht="12.75">
      <c r="A97" s="416" t="s">
        <v>402</v>
      </c>
      <c r="B97" s="482"/>
      <c r="C97" s="482"/>
      <c r="D97" s="482">
        <v>4190</v>
      </c>
      <c r="E97" s="482">
        <v>24.65</v>
      </c>
      <c r="F97" s="77"/>
    </row>
    <row r="98" spans="1:6" ht="12.75">
      <c r="A98" s="416" t="s">
        <v>403</v>
      </c>
      <c r="B98" s="482">
        <v>190</v>
      </c>
      <c r="C98" s="482">
        <v>1.45</v>
      </c>
      <c r="D98" s="482"/>
      <c r="E98" s="482"/>
      <c r="F98" s="77"/>
    </row>
    <row r="99" spans="1:6" ht="12.75">
      <c r="A99" s="416" t="s">
        <v>404</v>
      </c>
      <c r="B99" s="482">
        <v>190</v>
      </c>
      <c r="C99" s="482"/>
      <c r="D99" s="482">
        <v>900</v>
      </c>
      <c r="E99" s="482"/>
      <c r="F99" s="77"/>
    </row>
    <row r="100" spans="1:6" ht="12.75">
      <c r="A100" s="416" t="s">
        <v>405</v>
      </c>
      <c r="B100" s="482">
        <v>280</v>
      </c>
      <c r="C100" s="482"/>
      <c r="D100" s="482">
        <v>1395</v>
      </c>
      <c r="E100" s="482"/>
      <c r="F100" s="77"/>
    </row>
    <row r="101" spans="1:6" ht="12.75">
      <c r="A101" s="416" t="s">
        <v>472</v>
      </c>
      <c r="B101" s="482">
        <v>10</v>
      </c>
      <c r="C101" s="482">
        <v>10</v>
      </c>
      <c r="D101" s="482">
        <v>10</v>
      </c>
      <c r="E101" s="482">
        <v>10</v>
      </c>
      <c r="F101" s="77"/>
    </row>
    <row r="102" spans="1:6" ht="12.75">
      <c r="A102" s="416" t="s">
        <v>473</v>
      </c>
      <c r="B102" s="482"/>
      <c r="C102" s="482"/>
      <c r="D102" s="482"/>
      <c r="E102" s="482"/>
      <c r="F102" s="77"/>
    </row>
    <row r="103" spans="1:6" ht="12.75">
      <c r="A103" s="416" t="s">
        <v>474</v>
      </c>
      <c r="B103" s="482">
        <v>20</v>
      </c>
      <c r="C103" s="482">
        <v>20</v>
      </c>
      <c r="D103" s="482">
        <v>20</v>
      </c>
      <c r="E103" s="482">
        <v>20</v>
      </c>
      <c r="F103" s="77"/>
    </row>
    <row r="104" spans="1:6" ht="12.75">
      <c r="A104" s="416" t="s">
        <v>475</v>
      </c>
      <c r="B104" s="482"/>
      <c r="C104" s="482"/>
      <c r="D104" s="482"/>
      <c r="E104" s="482"/>
      <c r="F104" s="77"/>
    </row>
    <row r="105" spans="1:6" ht="12.75">
      <c r="A105" s="416"/>
      <c r="B105" s="442" t="s">
        <v>388</v>
      </c>
      <c r="C105" s="405" t="s">
        <v>389</v>
      </c>
      <c r="D105" s="442" t="s">
        <v>388</v>
      </c>
      <c r="E105" s="405" t="s">
        <v>389</v>
      </c>
      <c r="F105" s="77"/>
    </row>
    <row r="106" spans="1:6" ht="12.75">
      <c r="A106" s="416"/>
      <c r="B106" s="442" t="s">
        <v>390</v>
      </c>
      <c r="C106" s="405" t="s">
        <v>541</v>
      </c>
      <c r="D106" s="442" t="s">
        <v>390</v>
      </c>
      <c r="E106" s="405" t="s">
        <v>541</v>
      </c>
      <c r="F106" s="77"/>
    </row>
    <row r="107" spans="1:6" ht="12.75">
      <c r="A107" s="48" t="s">
        <v>538</v>
      </c>
      <c r="B107" s="642" t="s">
        <v>539</v>
      </c>
      <c r="C107" s="643"/>
      <c r="D107" s="67" t="s">
        <v>540</v>
      </c>
      <c r="E107" s="67"/>
      <c r="F107" s="77"/>
    </row>
    <row r="108" spans="1:6" ht="12.75">
      <c r="A108" s="416" t="s">
        <v>386</v>
      </c>
      <c r="B108" s="505">
        <v>4000</v>
      </c>
      <c r="C108" s="505"/>
      <c r="D108" s="505"/>
      <c r="E108" s="505"/>
      <c r="F108" s="77"/>
    </row>
    <row r="109" spans="1:6" ht="12.75">
      <c r="A109" s="416" t="s">
        <v>410</v>
      </c>
      <c r="B109" s="505"/>
      <c r="C109" s="505"/>
      <c r="D109" s="505">
        <v>3000</v>
      </c>
      <c r="E109" s="505"/>
      <c r="F109" s="77"/>
    </row>
    <row r="110" spans="1:6" ht="12.75">
      <c r="A110" s="416" t="s">
        <v>537</v>
      </c>
      <c r="B110" s="505"/>
      <c r="C110" s="505"/>
      <c r="D110" s="505"/>
      <c r="E110" s="505">
        <v>2</v>
      </c>
      <c r="F110" s="77"/>
    </row>
    <row r="111" spans="1:6" ht="12.75">
      <c r="A111" s="416" t="s">
        <v>373</v>
      </c>
      <c r="B111" s="505"/>
      <c r="C111" s="505"/>
      <c r="D111" s="505"/>
      <c r="E111" s="505"/>
      <c r="F111" s="77"/>
    </row>
    <row r="112" spans="1:6" ht="12.75">
      <c r="A112" s="416" t="s">
        <v>374</v>
      </c>
      <c r="B112" s="505"/>
      <c r="C112" s="505"/>
      <c r="D112" s="505"/>
      <c r="E112" s="505"/>
      <c r="F112" s="77"/>
    </row>
    <row r="113" spans="1:6" ht="12.75">
      <c r="A113" s="416" t="s">
        <v>375</v>
      </c>
      <c r="B113" s="505"/>
      <c r="C113" s="505">
        <v>1.2</v>
      </c>
      <c r="D113" s="505"/>
      <c r="E113" s="505"/>
      <c r="F113" s="77"/>
    </row>
    <row r="114" spans="1:6" ht="12.75">
      <c r="A114" s="416" t="s">
        <v>486</v>
      </c>
      <c r="B114" s="505"/>
      <c r="C114" s="505"/>
      <c r="D114" s="505"/>
      <c r="E114" s="505"/>
      <c r="F114" s="77"/>
    </row>
    <row r="115" spans="1:6" ht="12.75">
      <c r="A115" s="416" t="s">
        <v>487</v>
      </c>
      <c r="B115" s="505"/>
      <c r="C115" s="505"/>
      <c r="D115" s="505"/>
      <c r="E115" s="505"/>
      <c r="F115" s="77"/>
    </row>
    <row r="116" spans="1:6" ht="12.75">
      <c r="A116" s="416" t="s">
        <v>488</v>
      </c>
      <c r="B116" s="505"/>
      <c r="C116" s="505"/>
      <c r="D116" s="505"/>
      <c r="E116" s="505"/>
      <c r="F116" s="77"/>
    </row>
    <row r="117" spans="1:6" ht="12.75">
      <c r="A117" s="416" t="s">
        <v>489</v>
      </c>
      <c r="B117" s="505"/>
      <c r="C117" s="505"/>
      <c r="D117" s="505"/>
      <c r="E117" s="505"/>
      <c r="F117" s="77"/>
    </row>
    <row r="118" spans="1:6" ht="12.75">
      <c r="A118" s="416" t="s">
        <v>376</v>
      </c>
      <c r="B118" s="505"/>
      <c r="C118" s="505"/>
      <c r="D118" s="505"/>
      <c r="E118" s="505"/>
      <c r="F118" s="77"/>
    </row>
    <row r="119" spans="1:6" ht="12.75">
      <c r="A119" s="416" t="s">
        <v>542</v>
      </c>
      <c r="B119" s="505"/>
      <c r="C119" s="505"/>
      <c r="D119" s="505"/>
      <c r="E119" s="505"/>
      <c r="F119" s="77"/>
    </row>
    <row r="120" spans="1:6" ht="12.75">
      <c r="A120" s="416" t="s">
        <v>543</v>
      </c>
      <c r="B120" s="505"/>
      <c r="C120" s="505"/>
      <c r="D120" s="505"/>
      <c r="E120" s="505"/>
      <c r="F120" s="77"/>
    </row>
    <row r="121" spans="1:6" ht="12.75">
      <c r="A121" s="416" t="s">
        <v>544</v>
      </c>
      <c r="B121" s="505"/>
      <c r="C121" s="505"/>
      <c r="D121" s="505"/>
      <c r="E121" s="505"/>
      <c r="F121" s="77"/>
    </row>
    <row r="122" spans="1:6" ht="12.75">
      <c r="A122" s="416" t="s">
        <v>377</v>
      </c>
      <c r="B122" s="505"/>
      <c r="C122" s="505"/>
      <c r="D122" s="505"/>
      <c r="E122" s="505"/>
      <c r="F122" s="77"/>
    </row>
    <row r="123" spans="1:6" ht="12.75">
      <c r="A123" s="416" t="s">
        <v>378</v>
      </c>
      <c r="B123" s="505"/>
      <c r="C123" s="505"/>
      <c r="D123" s="505"/>
      <c r="E123" s="505"/>
      <c r="F123" s="77"/>
    </row>
    <row r="124" spans="1:6" ht="12.75">
      <c r="A124" s="42"/>
      <c r="B124" s="67"/>
      <c r="C124" s="67"/>
      <c r="D124" s="67"/>
      <c r="E124" s="67"/>
      <c r="F124" s="77"/>
    </row>
    <row r="125" spans="1:6" ht="12.75">
      <c r="A125" s="42" t="s">
        <v>563</v>
      </c>
      <c r="B125" s="151">
        <v>30</v>
      </c>
      <c r="C125" s="67"/>
      <c r="D125" s="67"/>
      <c r="E125" s="67"/>
      <c r="F125" s="77"/>
    </row>
    <row r="126" spans="1:6" ht="12.75">
      <c r="A126" s="42" t="s">
        <v>128</v>
      </c>
      <c r="B126" s="170">
        <v>0</v>
      </c>
      <c r="C126" s="67"/>
      <c r="D126" s="67"/>
      <c r="E126" s="67"/>
      <c r="F126" s="77"/>
    </row>
    <row r="127" spans="1:6" ht="12.75">
      <c r="A127" s="42" t="s">
        <v>559</v>
      </c>
      <c r="B127" s="170">
        <v>0</v>
      </c>
      <c r="C127" s="67"/>
      <c r="D127" s="67"/>
      <c r="E127" s="67"/>
      <c r="F127" s="77"/>
    </row>
    <row r="128" spans="1:6" ht="12.75">
      <c r="A128" s="42"/>
      <c r="B128" s="67"/>
      <c r="C128" s="67"/>
      <c r="D128" s="67"/>
      <c r="E128" s="67"/>
      <c r="F128" s="77"/>
    </row>
    <row r="129" spans="1:6" ht="12.75">
      <c r="A129" s="42" t="s">
        <v>565</v>
      </c>
      <c r="B129" s="331">
        <v>0</v>
      </c>
      <c r="C129" s="331">
        <v>0</v>
      </c>
      <c r="D129" s="331">
        <v>0</v>
      </c>
      <c r="E129" s="331">
        <v>0</v>
      </c>
      <c r="F129" s="77"/>
    </row>
    <row r="130" spans="1:6" ht="12.75">
      <c r="A130" s="42" t="s">
        <v>566</v>
      </c>
      <c r="B130" s="331">
        <v>0</v>
      </c>
      <c r="C130" s="331">
        <v>0</v>
      </c>
      <c r="D130" s="331">
        <v>0</v>
      </c>
      <c r="E130" s="331">
        <v>0</v>
      </c>
      <c r="F130" s="77"/>
    </row>
    <row r="131" spans="1:6" ht="12.75">
      <c r="A131" s="42" t="s">
        <v>567</v>
      </c>
      <c r="B131" s="331">
        <v>0</v>
      </c>
      <c r="C131" s="331">
        <v>0</v>
      </c>
      <c r="D131" s="331">
        <v>0</v>
      </c>
      <c r="E131" s="331">
        <v>0</v>
      </c>
      <c r="F131" s="77"/>
    </row>
    <row r="132" spans="1:6" ht="12.75">
      <c r="A132" s="42" t="s">
        <v>568</v>
      </c>
      <c r="B132" s="331">
        <v>0</v>
      </c>
      <c r="C132" s="331">
        <v>0</v>
      </c>
      <c r="D132" s="331">
        <v>0</v>
      </c>
      <c r="E132" s="331">
        <v>0</v>
      </c>
      <c r="F132" s="77"/>
    </row>
    <row r="133" spans="1:6" ht="12.75">
      <c r="A133" s="42" t="s">
        <v>569</v>
      </c>
      <c r="B133" s="331">
        <v>0</v>
      </c>
      <c r="C133" s="331">
        <v>0</v>
      </c>
      <c r="D133" s="331">
        <v>0</v>
      </c>
      <c r="E133" s="331">
        <v>0</v>
      </c>
      <c r="F133" s="77"/>
    </row>
    <row r="134" spans="1:6" ht="12.75">
      <c r="A134" s="42" t="s">
        <v>570</v>
      </c>
      <c r="B134" s="331">
        <v>500</v>
      </c>
      <c r="C134" s="331">
        <v>500</v>
      </c>
      <c r="D134" s="331">
        <v>500</v>
      </c>
      <c r="E134" s="331">
        <v>500</v>
      </c>
      <c r="F134" s="77"/>
    </row>
    <row r="135" spans="1:6" ht="12.75">
      <c r="A135" s="42" t="s">
        <v>571</v>
      </c>
      <c r="B135" s="331">
        <v>0</v>
      </c>
      <c r="C135" s="331">
        <v>0</v>
      </c>
      <c r="D135" s="331">
        <v>0</v>
      </c>
      <c r="E135" s="331">
        <v>0</v>
      </c>
      <c r="F135" s="77"/>
    </row>
    <row r="136" spans="1:6" ht="12.75">
      <c r="A136" s="42" t="s">
        <v>572</v>
      </c>
      <c r="B136" s="331">
        <v>0</v>
      </c>
      <c r="C136" s="331">
        <v>0</v>
      </c>
      <c r="D136" s="331">
        <v>0</v>
      </c>
      <c r="E136" s="331">
        <v>0</v>
      </c>
      <c r="F136" s="77"/>
    </row>
    <row r="137" spans="1:6" ht="12.75">
      <c r="A137" s="42" t="s">
        <v>573</v>
      </c>
      <c r="B137" s="331">
        <v>0</v>
      </c>
      <c r="C137" s="331">
        <v>0</v>
      </c>
      <c r="D137" s="331">
        <v>0</v>
      </c>
      <c r="E137" s="331">
        <v>0</v>
      </c>
      <c r="F137" s="77"/>
    </row>
    <row r="138" spans="1:6" ht="12.75">
      <c r="A138" s="63"/>
      <c r="B138" s="389"/>
      <c r="C138" s="389"/>
      <c r="D138" s="389"/>
      <c r="E138" s="389"/>
      <c r="F138" s="387"/>
    </row>
    <row r="139" spans="1:6" ht="12.75">
      <c r="A139" s="42" t="s">
        <v>581</v>
      </c>
      <c r="B139" s="316">
        <v>600</v>
      </c>
      <c r="C139" s="67"/>
      <c r="D139" s="67"/>
      <c r="E139" s="67"/>
      <c r="F139" s="77"/>
    </row>
    <row r="140" spans="1:6" ht="12.75">
      <c r="A140" s="63" t="s">
        <v>582</v>
      </c>
      <c r="B140" s="529">
        <v>600</v>
      </c>
      <c r="C140" s="529">
        <v>0</v>
      </c>
      <c r="D140" s="529">
        <v>0</v>
      </c>
      <c r="E140" s="529">
        <v>0</v>
      </c>
      <c r="F140" s="530">
        <v>0</v>
      </c>
    </row>
    <row r="141" spans="1:6" ht="12.75">
      <c r="A141" s="42" t="s">
        <v>593</v>
      </c>
      <c r="B141" s="316">
        <v>0</v>
      </c>
      <c r="C141" s="67"/>
      <c r="D141" s="67"/>
      <c r="E141" s="67"/>
      <c r="F141" s="77"/>
    </row>
    <row r="142" spans="1:6" ht="12.75">
      <c r="A142" s="42" t="s">
        <v>646</v>
      </c>
      <c r="B142" s="316">
        <v>300000</v>
      </c>
      <c r="C142" s="67"/>
      <c r="D142" s="67"/>
      <c r="E142" s="67"/>
      <c r="F142" s="77"/>
    </row>
    <row r="143" spans="1:6" ht="12.75">
      <c r="A143" s="42" t="s">
        <v>641</v>
      </c>
      <c r="B143" s="316"/>
      <c r="C143" s="328">
        <v>30000</v>
      </c>
      <c r="D143" s="328">
        <v>20000</v>
      </c>
      <c r="E143" s="328"/>
      <c r="F143" s="77"/>
    </row>
    <row r="144" spans="1:6" ht="12.75">
      <c r="A144" s="42" t="s">
        <v>643</v>
      </c>
      <c r="B144" s="618">
        <v>0.1</v>
      </c>
      <c r="C144" s="67"/>
      <c r="D144" s="67"/>
      <c r="E144" s="67"/>
      <c r="F144" s="77"/>
    </row>
    <row r="145" spans="1:6" ht="12.75">
      <c r="A145" s="42" t="s">
        <v>642</v>
      </c>
      <c r="B145" s="316">
        <v>50000</v>
      </c>
      <c r="C145" s="67"/>
      <c r="D145" s="67"/>
      <c r="E145" s="67"/>
      <c r="F145" s="77"/>
    </row>
    <row r="146" spans="1:6" ht="12.75">
      <c r="A146" s="42" t="s">
        <v>597</v>
      </c>
      <c r="B146" s="316">
        <v>200</v>
      </c>
      <c r="C146" s="67"/>
      <c r="D146" s="67"/>
      <c r="E146" s="67"/>
      <c r="F146" s="77"/>
    </row>
    <row r="147" spans="1:6" ht="12.75">
      <c r="A147" s="42" t="s">
        <v>668</v>
      </c>
      <c r="B147" s="316"/>
      <c r="C147" s="316">
        <v>0</v>
      </c>
      <c r="D147" s="316">
        <v>0</v>
      </c>
      <c r="E147" s="316"/>
      <c r="F147" s="77"/>
    </row>
    <row r="148" spans="1:6" ht="12.75">
      <c r="A148" s="42" t="s">
        <v>667</v>
      </c>
      <c r="B148" s="316">
        <v>2000</v>
      </c>
      <c r="C148" s="552" t="s">
        <v>605</v>
      </c>
      <c r="D148" s="553"/>
      <c r="E148" s="553"/>
      <c r="F148" s="554"/>
    </row>
    <row r="149" spans="1:6" ht="12.75">
      <c r="A149" s="42" t="s">
        <v>598</v>
      </c>
      <c r="B149" s="316">
        <v>268730</v>
      </c>
      <c r="C149" s="552" t="str">
        <f>IF('Orçamento Fabril'!N79=0,"Ok!","O valor deve ser acrescido em")</f>
        <v>Ok!</v>
      </c>
      <c r="D149" s="552"/>
      <c r="E149" s="552"/>
      <c r="F149" s="555">
        <f>IF('Orçamento Fabril'!N79=0,,'Orçamento Fabril'!N79)</f>
        <v>0</v>
      </c>
    </row>
    <row r="150" spans="1:6" ht="12.75">
      <c r="A150" s="42" t="s">
        <v>599</v>
      </c>
      <c r="B150" s="316">
        <v>0</v>
      </c>
      <c r="C150" s="67"/>
      <c r="D150" s="67"/>
      <c r="E150" s="67"/>
      <c r="F150" s="77"/>
    </row>
    <row r="151" spans="1:6" ht="13.5" thickBot="1">
      <c r="A151" s="64"/>
      <c r="B151" s="72"/>
      <c r="C151" s="72"/>
      <c r="D151" s="72"/>
      <c r="E151" s="72"/>
      <c r="F151" s="183"/>
    </row>
  </sheetData>
  <mergeCells count="5">
    <mergeCell ref="B107:C107"/>
    <mergeCell ref="A1:F1"/>
    <mergeCell ref="A30:F30"/>
    <mergeCell ref="B87:C87"/>
    <mergeCell ref="D87:E87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684"/>
  <sheetViews>
    <sheetView zoomScale="75" zoomScaleNormal="75" workbookViewId="0" topLeftCell="J1">
      <selection activeCell="L145" sqref="L145:R168"/>
    </sheetView>
  </sheetViews>
  <sheetFormatPr defaultColWidth="9.140625" defaultRowHeight="12.75"/>
  <cols>
    <col min="3" max="3" width="62.421875" style="0" customWidth="1"/>
    <col min="4" max="4" width="14.421875" style="0" customWidth="1"/>
    <col min="5" max="5" width="15.00390625" style="0" customWidth="1"/>
    <col min="6" max="6" width="12.8515625" style="0" customWidth="1"/>
    <col min="7" max="7" width="15.57421875" style="0" bestFit="1" customWidth="1"/>
    <col min="8" max="8" width="13.00390625" style="0" bestFit="1" customWidth="1"/>
    <col min="13" max="13" width="32.28125" style="0" customWidth="1"/>
    <col min="14" max="14" width="11.57421875" style="0" customWidth="1"/>
    <col min="15" max="15" width="13.421875" style="0" customWidth="1"/>
    <col min="16" max="16" width="15.140625" style="0" customWidth="1"/>
    <col min="17" max="17" width="14.28125" style="0" customWidth="1"/>
    <col min="18" max="18" width="14.00390625" style="0" customWidth="1"/>
    <col min="19" max="19" width="13.7109375" style="0" customWidth="1"/>
    <col min="23" max="23" width="16.28125" style="0" bestFit="1" customWidth="1"/>
    <col min="24" max="24" width="15.8515625" style="0" bestFit="1" customWidth="1"/>
    <col min="25" max="25" width="16.8515625" style="0" bestFit="1" customWidth="1"/>
    <col min="26" max="26" width="15.28125" style="0" bestFit="1" customWidth="1"/>
  </cols>
  <sheetData>
    <row r="1" ht="13.5" thickBot="1"/>
    <row r="2" spans="2:19" ht="12.75">
      <c r="B2" s="463" t="s">
        <v>460</v>
      </c>
      <c r="C2" s="464"/>
      <c r="D2" s="464"/>
      <c r="E2" s="464"/>
      <c r="F2" s="464"/>
      <c r="G2" s="464"/>
      <c r="H2" s="464"/>
      <c r="I2" s="465"/>
      <c r="K2" s="463" t="s">
        <v>575</v>
      </c>
      <c r="L2" s="464"/>
      <c r="M2" s="464"/>
      <c r="N2" s="464"/>
      <c r="O2" s="464"/>
      <c r="P2" s="464"/>
      <c r="Q2" s="464"/>
      <c r="R2" s="464"/>
      <c r="S2" s="465"/>
    </row>
    <row r="3" spans="2:19" ht="13.5" thickBot="1">
      <c r="B3" s="466"/>
      <c r="C3" s="20"/>
      <c r="D3" s="20"/>
      <c r="E3" s="20"/>
      <c r="F3" s="20"/>
      <c r="G3" s="20"/>
      <c r="H3" s="20"/>
      <c r="I3" s="467"/>
      <c r="K3" s="466"/>
      <c r="L3" s="20"/>
      <c r="M3" s="20"/>
      <c r="N3" s="20"/>
      <c r="O3" s="20"/>
      <c r="P3" s="20"/>
      <c r="Q3" s="20"/>
      <c r="R3" s="20"/>
      <c r="S3" s="467"/>
    </row>
    <row r="4" spans="2:19" ht="12.75">
      <c r="B4" s="466"/>
      <c r="C4" s="46" t="s">
        <v>254</v>
      </c>
      <c r="D4" s="76"/>
      <c r="E4" s="20"/>
      <c r="F4" s="20"/>
      <c r="G4" s="20"/>
      <c r="H4" s="101"/>
      <c r="I4" s="467"/>
      <c r="K4" s="466"/>
      <c r="L4" s="226" t="s">
        <v>36</v>
      </c>
      <c r="M4" s="520"/>
      <c r="N4" s="521"/>
      <c r="O4" s="81" t="str">
        <f>D16</f>
        <v>Trim 1</v>
      </c>
      <c r="P4" s="81" t="str">
        <f>E16</f>
        <v>Trim 2</v>
      </c>
      <c r="Q4" s="81" t="str">
        <f>F16</f>
        <v>Trim 3</v>
      </c>
      <c r="R4" s="82" t="str">
        <f>G16</f>
        <v>Trim 4</v>
      </c>
      <c r="S4" s="467"/>
    </row>
    <row r="5" spans="2:19" ht="12.75">
      <c r="B5" s="466"/>
      <c r="C5" s="42" t="s">
        <v>258</v>
      </c>
      <c r="D5" s="362">
        <f>Dados!B31</f>
        <v>0.5</v>
      </c>
      <c r="E5" s="20"/>
      <c r="F5" s="20"/>
      <c r="G5" s="20"/>
      <c r="H5" s="101"/>
      <c r="I5" s="467"/>
      <c r="K5" s="466"/>
      <c r="L5" s="227" t="s">
        <v>37</v>
      </c>
      <c r="M5" s="41"/>
      <c r="N5" s="515"/>
      <c r="O5" s="66"/>
      <c r="P5" s="66"/>
      <c r="Q5" s="66"/>
      <c r="R5" s="83"/>
      <c r="S5" s="467"/>
    </row>
    <row r="6" spans="2:19" ht="12.75">
      <c r="B6" s="466"/>
      <c r="C6" s="42" t="s">
        <v>256</v>
      </c>
      <c r="D6" s="356">
        <f>Dados!B32</f>
        <v>500</v>
      </c>
      <c r="E6" s="20"/>
      <c r="F6" s="20"/>
      <c r="G6" s="20"/>
      <c r="H6" s="101"/>
      <c r="I6" s="467"/>
      <c r="K6" s="466"/>
      <c r="L6" s="228"/>
      <c r="M6" s="42" t="s">
        <v>1</v>
      </c>
      <c r="N6" s="516"/>
      <c r="O6" s="172">
        <f>D22</f>
        <v>756250</v>
      </c>
      <c r="P6" s="172">
        <f>E22</f>
        <v>849750</v>
      </c>
      <c r="Q6" s="172">
        <f>F22</f>
        <v>938973.7499999999</v>
      </c>
      <c r="R6" s="173">
        <f>G22</f>
        <v>1041538.575</v>
      </c>
      <c r="S6" s="467"/>
    </row>
    <row r="7" spans="2:19" ht="12.75">
      <c r="B7" s="466"/>
      <c r="C7" s="42" t="s">
        <v>257</v>
      </c>
      <c r="D7" s="356">
        <f>Dados!B33</f>
        <v>70</v>
      </c>
      <c r="E7" s="20"/>
      <c r="F7" s="20"/>
      <c r="G7" s="20"/>
      <c r="H7" s="101"/>
      <c r="I7" s="467"/>
      <c r="K7" s="466"/>
      <c r="L7" s="228"/>
      <c r="M7" s="42" t="s">
        <v>139</v>
      </c>
      <c r="N7" s="516"/>
      <c r="O7" s="172">
        <f>D38</f>
        <v>734012.5</v>
      </c>
      <c r="P7" s="172">
        <f>E38</f>
        <v>2355433.3241758244</v>
      </c>
      <c r="Q7" s="172">
        <f>F38</f>
        <v>2632453.65897635</v>
      </c>
      <c r="R7" s="173">
        <f>G38</f>
        <v>2870305.9297901336</v>
      </c>
      <c r="S7" s="467"/>
    </row>
    <row r="8" spans="2:19" ht="12.75">
      <c r="B8" s="466"/>
      <c r="C8" s="42" t="s">
        <v>259</v>
      </c>
      <c r="D8" s="362">
        <f>Dados!B34</f>
        <v>0.25</v>
      </c>
      <c r="E8" s="20"/>
      <c r="F8" s="20"/>
      <c r="G8" s="20"/>
      <c r="H8" s="101"/>
      <c r="I8" s="467"/>
      <c r="K8" s="466"/>
      <c r="L8" s="229" t="s">
        <v>20</v>
      </c>
      <c r="M8" s="48"/>
      <c r="N8" s="517"/>
      <c r="O8" s="49">
        <f>O6+O7</f>
        <v>1490262.5</v>
      </c>
      <c r="P8" s="49">
        <f>P6+P7</f>
        <v>3205183.3241758244</v>
      </c>
      <c r="Q8" s="49">
        <f>Q6+Q7</f>
        <v>3571427.40897635</v>
      </c>
      <c r="R8" s="121">
        <f>R6+R7</f>
        <v>3911844.504790134</v>
      </c>
      <c r="S8" s="467"/>
    </row>
    <row r="9" spans="2:19" ht="13.5" thickBot="1">
      <c r="B9" s="466"/>
      <c r="C9" s="50" t="s">
        <v>255</v>
      </c>
      <c r="D9" s="363">
        <f>(D7*(D6/(D6-D5)))/(1-D8*(D6/(D6-D5)))</f>
        <v>93.45794392523365</v>
      </c>
      <c r="E9" s="20"/>
      <c r="F9" s="20"/>
      <c r="G9" s="20"/>
      <c r="H9" s="101"/>
      <c r="I9" s="467"/>
      <c r="K9" s="466"/>
      <c r="L9" s="228" t="s">
        <v>650</v>
      </c>
      <c r="M9" s="42"/>
      <c r="N9" s="516"/>
      <c r="O9" s="68"/>
      <c r="P9" s="68"/>
      <c r="Q9" s="68"/>
      <c r="R9" s="165"/>
      <c r="S9" s="467"/>
    </row>
    <row r="10" spans="2:19" ht="13.5" thickBot="1">
      <c r="B10" s="466"/>
      <c r="C10" s="468"/>
      <c r="D10" s="20"/>
      <c r="E10" s="20"/>
      <c r="F10" s="20"/>
      <c r="G10" s="20"/>
      <c r="H10" s="101"/>
      <c r="I10" s="467"/>
      <c r="K10" s="466"/>
      <c r="L10" s="228"/>
      <c r="M10" s="42" t="s">
        <v>584</v>
      </c>
      <c r="N10" s="516"/>
      <c r="O10" s="174">
        <f>D580</f>
        <v>25500</v>
      </c>
      <c r="P10" s="174">
        <f>E580</f>
        <v>28090.8</v>
      </c>
      <c r="Q10" s="174">
        <f>F580</f>
        <v>30076.433999999997</v>
      </c>
      <c r="R10" s="175">
        <f>G580</f>
        <v>32358.967559999997</v>
      </c>
      <c r="S10" s="467"/>
    </row>
    <row r="11" spans="2:19" ht="12.75">
      <c r="B11" s="466"/>
      <c r="C11" s="61" t="s">
        <v>142</v>
      </c>
      <c r="D11" s="340">
        <f>Dados!B36</f>
        <v>250</v>
      </c>
      <c r="E11" s="75"/>
      <c r="F11" s="75" t="s">
        <v>143</v>
      </c>
      <c r="G11" s="76"/>
      <c r="H11" s="20"/>
      <c r="I11" s="467"/>
      <c r="K11" s="466"/>
      <c r="L11" s="228"/>
      <c r="M11" s="42" t="s">
        <v>583</v>
      </c>
      <c r="N11" s="516"/>
      <c r="O11" s="174">
        <f>D522</f>
        <v>21900</v>
      </c>
      <c r="P11" s="174">
        <f>E522</f>
        <v>23586.48</v>
      </c>
      <c r="Q11" s="174">
        <f>F522</f>
        <v>24777.860399999998</v>
      </c>
      <c r="R11" s="175">
        <f>G522</f>
        <v>26147.380535999997</v>
      </c>
      <c r="S11" s="467"/>
    </row>
    <row r="12" spans="2:19" ht="12.75">
      <c r="B12" s="466"/>
      <c r="C12" s="42" t="s">
        <v>5</v>
      </c>
      <c r="D12" s="89">
        <f>($D$11/($F$12+$F$13))*F12</f>
        <v>62.5</v>
      </c>
      <c r="E12" s="67"/>
      <c r="F12" s="339">
        <f>Dados!D37</f>
        <v>1</v>
      </c>
      <c r="G12" s="87"/>
      <c r="H12" s="20"/>
      <c r="I12" s="467"/>
      <c r="K12" s="466"/>
      <c r="L12" s="228"/>
      <c r="M12" s="42" t="s">
        <v>50</v>
      </c>
      <c r="N12" s="516"/>
      <c r="O12" s="174">
        <f>D74</f>
        <v>1873333</v>
      </c>
      <c r="P12" s="174">
        <f>E74</f>
        <v>1112957.23</v>
      </c>
      <c r="Q12" s="174">
        <f>F74</f>
        <v>1553442.6600000001</v>
      </c>
      <c r="R12" s="175">
        <f>G74</f>
        <v>1617210.21</v>
      </c>
      <c r="S12" s="467"/>
    </row>
    <row r="13" spans="2:19" ht="12.75">
      <c r="B13" s="466"/>
      <c r="C13" s="42" t="s">
        <v>6</v>
      </c>
      <c r="D13" s="89">
        <f>($D$11/($F$12+$F$13))*F13</f>
        <v>187.5</v>
      </c>
      <c r="E13" s="67"/>
      <c r="F13" s="339">
        <f>Dados!D38</f>
        <v>3</v>
      </c>
      <c r="G13" s="78"/>
      <c r="H13" s="20"/>
      <c r="I13" s="467"/>
      <c r="K13" s="466"/>
      <c r="L13" s="228"/>
      <c r="M13" s="53" t="s">
        <v>140</v>
      </c>
      <c r="N13" s="518"/>
      <c r="O13" s="174">
        <f>D89</f>
        <v>1249088.6666666667</v>
      </c>
      <c r="P13" s="174">
        <f>E89</f>
        <v>1370492.5864102563</v>
      </c>
      <c r="Q13" s="174">
        <f>F89</f>
        <v>1413794.247792642</v>
      </c>
      <c r="R13" s="175">
        <f>G89</f>
        <v>1590621.3760535119</v>
      </c>
      <c r="S13" s="467"/>
    </row>
    <row r="14" spans="2:19" ht="13.5" thickBot="1">
      <c r="B14" s="466"/>
      <c r="C14" s="64" t="s">
        <v>3</v>
      </c>
      <c r="D14" s="342">
        <f>Dados!B3</f>
        <v>0.03</v>
      </c>
      <c r="E14" s="342">
        <f>Dados!C3</f>
        <v>0.02</v>
      </c>
      <c r="F14" s="342">
        <f>Dados!D3</f>
        <v>0.03</v>
      </c>
      <c r="G14" s="344">
        <f>Dados!E3</f>
        <v>0.04</v>
      </c>
      <c r="H14" s="20"/>
      <c r="I14" s="467"/>
      <c r="K14" s="466"/>
      <c r="L14" s="228"/>
      <c r="M14" s="53" t="s">
        <v>577</v>
      </c>
      <c r="N14" s="518"/>
      <c r="O14" s="174">
        <f aca="true" t="shared" si="0" ref="O14:R15">D131</f>
        <v>39829.725</v>
      </c>
      <c r="P14" s="174">
        <f t="shared" si="0"/>
        <v>35775.148499999996</v>
      </c>
      <c r="Q14" s="174">
        <f t="shared" si="0"/>
        <v>39340.431</v>
      </c>
      <c r="R14" s="175">
        <f t="shared" si="0"/>
        <v>40557.69899999999</v>
      </c>
      <c r="S14" s="467"/>
    </row>
    <row r="15" spans="2:19" ht="13.5" thickBot="1">
      <c r="B15" s="466"/>
      <c r="C15" s="20"/>
      <c r="D15" s="469"/>
      <c r="E15" s="20"/>
      <c r="F15" s="20"/>
      <c r="G15" s="20"/>
      <c r="H15" s="20"/>
      <c r="I15" s="467"/>
      <c r="K15" s="466"/>
      <c r="L15" s="228"/>
      <c r="M15" s="53" t="s">
        <v>578</v>
      </c>
      <c r="N15" s="518"/>
      <c r="O15" s="174">
        <f t="shared" si="0"/>
        <v>22420.51429090909</v>
      </c>
      <c r="P15" s="174">
        <f t="shared" si="0"/>
        <v>20138.156319272726</v>
      </c>
      <c r="Q15" s="174">
        <f t="shared" si="0"/>
        <v>22145.086250181816</v>
      </c>
      <c r="R15" s="175">
        <f t="shared" si="0"/>
        <v>22830.297473454542</v>
      </c>
      <c r="S15" s="467"/>
    </row>
    <row r="16" spans="2:19" ht="13.5" thickBot="1">
      <c r="B16" s="466"/>
      <c r="C16" s="39" t="s">
        <v>0</v>
      </c>
      <c r="D16" s="343" t="str">
        <f>Dados!B2</f>
        <v>Trim 1</v>
      </c>
      <c r="E16" s="343" t="str">
        <f>Dados!C2</f>
        <v>Trim 2</v>
      </c>
      <c r="F16" s="343" t="str">
        <f>Dados!D2</f>
        <v>Trim 3</v>
      </c>
      <c r="G16" s="345" t="str">
        <f>Dados!E2</f>
        <v>Trim 4</v>
      </c>
      <c r="H16" s="536" t="str">
        <f>Dados!F2</f>
        <v>Trim 5</v>
      </c>
      <c r="I16" s="467"/>
      <c r="K16" s="466"/>
      <c r="L16" s="228"/>
      <c r="M16" s="53" t="s">
        <v>579</v>
      </c>
      <c r="N16" s="518"/>
      <c r="O16" s="174">
        <f>D362</f>
        <v>283516.181</v>
      </c>
      <c r="P16" s="174">
        <f>E362</f>
        <v>276246.183695</v>
      </c>
      <c r="Q16" s="174">
        <f>F362</f>
        <v>281695.65231000003</v>
      </c>
      <c r="R16" s="175">
        <f>G362</f>
        <v>287988.07732000004</v>
      </c>
      <c r="S16" s="467"/>
    </row>
    <row r="17" spans="2:19" ht="13.5" thickBot="1">
      <c r="B17" s="466"/>
      <c r="C17" s="61" t="s">
        <v>311</v>
      </c>
      <c r="D17" s="534">
        <f>Dados!B40</f>
        <v>11000</v>
      </c>
      <c r="E17" s="534">
        <f>Dados!C40</f>
        <v>12000</v>
      </c>
      <c r="F17" s="534">
        <f>Dados!D40</f>
        <v>13000</v>
      </c>
      <c r="G17" s="535">
        <f>Dados!E40</f>
        <v>14000</v>
      </c>
      <c r="H17" s="533">
        <f>Dados!F40</f>
        <v>12000</v>
      </c>
      <c r="I17" s="467"/>
      <c r="K17" s="466"/>
      <c r="L17" s="228"/>
      <c r="M17" s="53" t="s">
        <v>562</v>
      </c>
      <c r="N17" s="518"/>
      <c r="O17" s="174">
        <f>D608</f>
        <v>-43737.333333333336</v>
      </c>
      <c r="P17" s="174">
        <f>E608</f>
        <v>49618.06454212456</v>
      </c>
      <c r="Q17" s="174">
        <f>F608</f>
        <v>69208.58810425233</v>
      </c>
      <c r="R17" s="175">
        <f>G608</f>
        <v>63281.976099572</v>
      </c>
      <c r="S17" s="467"/>
    </row>
    <row r="18" spans="2:19" ht="12.75">
      <c r="B18" s="466"/>
      <c r="C18" s="42" t="s">
        <v>274</v>
      </c>
      <c r="D18" s="89">
        <f>D11</f>
        <v>250</v>
      </c>
      <c r="E18" s="89">
        <f>D18+D18*D14</f>
        <v>257.5</v>
      </c>
      <c r="F18" s="89">
        <f>E18+E18*E14</f>
        <v>262.65</v>
      </c>
      <c r="G18" s="125">
        <f>F18+F18*F14</f>
        <v>270.5295</v>
      </c>
      <c r="H18" s="20"/>
      <c r="I18" s="467"/>
      <c r="K18" s="466"/>
      <c r="L18" s="228"/>
      <c r="M18" s="53" t="s">
        <v>108</v>
      </c>
      <c r="N18" s="518"/>
      <c r="O18" s="174">
        <f>D595</f>
        <v>-78727.19999999995</v>
      </c>
      <c r="P18" s="174">
        <f>E595</f>
        <v>89312.51617582423</v>
      </c>
      <c r="Q18" s="174">
        <f>F595</f>
        <v>124575.45858765414</v>
      </c>
      <c r="R18" s="175">
        <f>G595</f>
        <v>113907.55697922947</v>
      </c>
      <c r="S18" s="467"/>
    </row>
    <row r="19" spans="2:19" ht="12.75">
      <c r="B19" s="466"/>
      <c r="C19" s="43" t="s">
        <v>275</v>
      </c>
      <c r="D19" s="94">
        <f>D17*D18</f>
        <v>2750000</v>
      </c>
      <c r="E19" s="94">
        <f>E17*E18</f>
        <v>3090000</v>
      </c>
      <c r="F19" s="94">
        <f>F17*F18</f>
        <v>3414449.9999999995</v>
      </c>
      <c r="G19" s="128">
        <f>G17*G18</f>
        <v>3787413</v>
      </c>
      <c r="H19" s="20"/>
      <c r="I19" s="467"/>
      <c r="K19" s="466"/>
      <c r="L19" s="228" t="s">
        <v>651</v>
      </c>
      <c r="M19" s="53"/>
      <c r="N19" s="518"/>
      <c r="O19" s="174"/>
      <c r="P19" s="174"/>
      <c r="Q19" s="174"/>
      <c r="R19" s="175"/>
      <c r="S19" s="467"/>
    </row>
    <row r="20" spans="2:19" ht="12.75">
      <c r="B20" s="466"/>
      <c r="C20" s="54" t="s">
        <v>600</v>
      </c>
      <c r="D20" s="153">
        <f>D19*Dados!$B5</f>
        <v>275000</v>
      </c>
      <c r="E20" s="153">
        <f>E19*Dados!$B5</f>
        <v>309000</v>
      </c>
      <c r="F20" s="153">
        <f>F19*Dados!$B5</f>
        <v>341445</v>
      </c>
      <c r="G20" s="160">
        <f>G19*Dados!$B5</f>
        <v>378741.30000000005</v>
      </c>
      <c r="H20" s="20"/>
      <c r="I20" s="467"/>
      <c r="K20" s="466"/>
      <c r="L20" s="228"/>
      <c r="M20" s="53" t="s">
        <v>576</v>
      </c>
      <c r="N20" s="518"/>
      <c r="O20" s="174">
        <f>D620</f>
        <v>500</v>
      </c>
      <c r="P20" s="174">
        <f>E620</f>
        <v>500</v>
      </c>
      <c r="Q20" s="174">
        <f>F620</f>
        <v>500</v>
      </c>
      <c r="R20" s="175">
        <f>G620</f>
        <v>500</v>
      </c>
      <c r="S20" s="467"/>
    </row>
    <row r="21" spans="2:19" ht="12.75">
      <c r="B21" s="466"/>
      <c r="C21" s="43" t="s">
        <v>271</v>
      </c>
      <c r="D21" s="94">
        <f>D19+D20</f>
        <v>3025000</v>
      </c>
      <c r="E21" s="94">
        <f>E19+E20</f>
        <v>3399000</v>
      </c>
      <c r="F21" s="94">
        <f>F19+F20</f>
        <v>3755894.9999999995</v>
      </c>
      <c r="G21" s="128">
        <f>G19+G20</f>
        <v>4166154.3</v>
      </c>
      <c r="H21" s="20"/>
      <c r="I21" s="467"/>
      <c r="K21" s="466"/>
      <c r="L21" s="228" t="s">
        <v>652</v>
      </c>
      <c r="M21" s="53"/>
      <c r="N21" s="518"/>
      <c r="O21" s="174"/>
      <c r="P21" s="174"/>
      <c r="Q21" s="174"/>
      <c r="R21" s="175"/>
      <c r="S21" s="467"/>
    </row>
    <row r="22" spans="2:19" ht="12.75">
      <c r="B22" s="466"/>
      <c r="C22" s="42" t="s">
        <v>113</v>
      </c>
      <c r="D22" s="136">
        <f>(D21/($F$12+$F$13))*$F$12</f>
        <v>756250</v>
      </c>
      <c r="E22" s="136">
        <f>(E21/($F$12+$F$13))*$F$12</f>
        <v>849750</v>
      </c>
      <c r="F22" s="136">
        <f>(F21/($F$12+$F$13))*$F$12</f>
        <v>938973.7499999999</v>
      </c>
      <c r="G22" s="137">
        <f>(G21/($F$12+$F$13))*$F$12</f>
        <v>1041538.575</v>
      </c>
      <c r="H22" s="20"/>
      <c r="I22" s="467"/>
      <c r="K22" s="466"/>
      <c r="L22" s="228"/>
      <c r="M22" s="53" t="s">
        <v>653</v>
      </c>
      <c r="N22" s="518"/>
      <c r="O22" s="174">
        <f>D640</f>
        <v>0</v>
      </c>
      <c r="P22" s="174">
        <f>E640</f>
        <v>31670.999999999996</v>
      </c>
      <c r="Q22" s="174">
        <f>F640</f>
        <v>21536.28</v>
      </c>
      <c r="R22" s="175">
        <f>G640</f>
        <v>0</v>
      </c>
      <c r="S22" s="467"/>
    </row>
    <row r="23" spans="2:19" ht="12.75">
      <c r="B23" s="466"/>
      <c r="C23" s="42" t="s">
        <v>272</v>
      </c>
      <c r="D23" s="89">
        <f>(D21/($F$12+$F$13))*$F$13</f>
        <v>2268750</v>
      </c>
      <c r="E23" s="89">
        <f>(E21/($F$12+$F$13))*$F$13</f>
        <v>2549250</v>
      </c>
      <c r="F23" s="89">
        <f>(F21/($F$12+$F$13))*$F$13</f>
        <v>2816921.2499999995</v>
      </c>
      <c r="G23" s="125">
        <f>(G21/($F$12+$F$13))*$F$13</f>
        <v>3124615.7249999996</v>
      </c>
      <c r="H23" s="20"/>
      <c r="I23" s="467"/>
      <c r="K23" s="466"/>
      <c r="L23" s="229" t="s">
        <v>20</v>
      </c>
      <c r="M23" s="48"/>
      <c r="N23" s="517"/>
      <c r="O23" s="70">
        <f>SUM(O10:O22)</f>
        <v>3393623.5536242425</v>
      </c>
      <c r="P23" s="70">
        <f>SUM(P10:P22)</f>
        <v>3038388.165642478</v>
      </c>
      <c r="Q23" s="70">
        <f>SUM(Q10:Q22)</f>
        <v>3581092.6984447297</v>
      </c>
      <c r="R23" s="166">
        <f>SUM(R10:R22)</f>
        <v>3795403.5410217685</v>
      </c>
      <c r="S23" s="467"/>
    </row>
    <row r="24" spans="2:19" ht="12.75">
      <c r="B24" s="466"/>
      <c r="C24" s="43" t="s">
        <v>271</v>
      </c>
      <c r="D24" s="94">
        <f>D22+D23</f>
        <v>3025000</v>
      </c>
      <c r="E24" s="94">
        <f>E22+E23</f>
        <v>3399000</v>
      </c>
      <c r="F24" s="94">
        <f>F22+F23</f>
        <v>3755894.9999999995</v>
      </c>
      <c r="G24" s="128">
        <f>G22+G23</f>
        <v>4166154.3</v>
      </c>
      <c r="H24" s="20"/>
      <c r="I24" s="467"/>
      <c r="K24" s="466"/>
      <c r="L24" s="228"/>
      <c r="M24" s="53"/>
      <c r="N24" s="518"/>
      <c r="O24" s="68"/>
      <c r="P24" s="68"/>
      <c r="Q24" s="68"/>
      <c r="R24" s="77"/>
      <c r="S24" s="467"/>
    </row>
    <row r="25" spans="2:19" ht="12.75">
      <c r="B25" s="466"/>
      <c r="C25" s="53" t="s">
        <v>268</v>
      </c>
      <c r="D25" s="89">
        <f>D20</f>
        <v>275000</v>
      </c>
      <c r="E25" s="89">
        <f>E20</f>
        <v>309000</v>
      </c>
      <c r="F25" s="89">
        <f>F20</f>
        <v>341445</v>
      </c>
      <c r="G25" s="125">
        <f>G20</f>
        <v>378741.30000000005</v>
      </c>
      <c r="H25" s="20"/>
      <c r="I25" s="467"/>
      <c r="K25" s="466"/>
      <c r="L25" s="229" t="s">
        <v>42</v>
      </c>
      <c r="M25" s="48"/>
      <c r="N25" s="517"/>
      <c r="O25" s="525">
        <f>Dados!B139</f>
        <v>600</v>
      </c>
      <c r="P25" s="70">
        <f>O31</f>
        <v>600</v>
      </c>
      <c r="Q25" s="70">
        <f>P31</f>
        <v>0</v>
      </c>
      <c r="R25" s="166">
        <f>Q31</f>
        <v>0</v>
      </c>
      <c r="S25" s="467"/>
    </row>
    <row r="26" spans="2:19" ht="13.5" thickBot="1">
      <c r="B26" s="466"/>
      <c r="C26" s="321" t="s">
        <v>269</v>
      </c>
      <c r="D26" s="322">
        <f>Dados!$B6*D19</f>
        <v>495000</v>
      </c>
      <c r="E26" s="322">
        <f>Dados!$B6*E19</f>
        <v>556200</v>
      </c>
      <c r="F26" s="322">
        <f>Dados!$B6*F19</f>
        <v>614600.9999999999</v>
      </c>
      <c r="G26" s="346">
        <f>Dados!$B6*G19</f>
        <v>681734.34</v>
      </c>
      <c r="H26" s="20"/>
      <c r="I26" s="467"/>
      <c r="K26" s="466"/>
      <c r="L26" s="229" t="s">
        <v>43</v>
      </c>
      <c r="M26" s="48"/>
      <c r="N26" s="517"/>
      <c r="O26" s="70">
        <f>O8-O23</f>
        <v>-1903361.0536242425</v>
      </c>
      <c r="P26" s="70">
        <f>P8-P23</f>
        <v>166795.15853334637</v>
      </c>
      <c r="Q26" s="70">
        <f>Q8-Q23</f>
        <v>-9665.289468379691</v>
      </c>
      <c r="R26" s="166">
        <f>R8-R23</f>
        <v>116440.96376836533</v>
      </c>
      <c r="S26" s="467"/>
    </row>
    <row r="27" spans="2:19" ht="13.5" thickBot="1">
      <c r="B27" s="466"/>
      <c r="C27" s="39" t="s">
        <v>273</v>
      </c>
      <c r="D27" s="320">
        <f>D24-D25-D26</f>
        <v>2255000</v>
      </c>
      <c r="E27" s="320">
        <f>E24-E25-E26</f>
        <v>2533800</v>
      </c>
      <c r="F27" s="320">
        <f>F24-F25-F26</f>
        <v>2799848.9999999995</v>
      </c>
      <c r="G27" s="347">
        <f>G24-G25-G26</f>
        <v>3105678.66</v>
      </c>
      <c r="H27" s="20"/>
      <c r="I27" s="467"/>
      <c r="K27" s="466"/>
      <c r="L27" s="229" t="s">
        <v>44</v>
      </c>
      <c r="M27" s="48"/>
      <c r="N27" s="517"/>
      <c r="O27" s="70">
        <f>O25+O26</f>
        <v>-1902761.0536242425</v>
      </c>
      <c r="P27" s="70">
        <f>P25+P26</f>
        <v>167395.15853334637</v>
      </c>
      <c r="Q27" s="70">
        <f>Q25+Q26</f>
        <v>-9665.289468379691</v>
      </c>
      <c r="R27" s="166">
        <f>R25+R26</f>
        <v>116440.96376836533</v>
      </c>
      <c r="S27" s="467"/>
    </row>
    <row r="28" spans="2:19" ht="13.5" thickBot="1">
      <c r="B28" s="466"/>
      <c r="C28" s="20"/>
      <c r="D28" s="20"/>
      <c r="E28" s="20"/>
      <c r="F28" s="20"/>
      <c r="G28" s="20"/>
      <c r="H28" s="20"/>
      <c r="I28" s="467"/>
      <c r="K28" s="466"/>
      <c r="L28" s="229" t="s">
        <v>45</v>
      </c>
      <c r="M28" s="48"/>
      <c r="N28" s="517"/>
      <c r="O28" s="49">
        <f>IF(O27&lt;0,-O27+O30,0)</f>
        <v>1903361.0536242425</v>
      </c>
      <c r="P28" s="49">
        <f>IF(P27&lt;0,-P27+P30,0)</f>
        <v>0</v>
      </c>
      <c r="Q28" s="49">
        <f>IF(Q27&lt;0,-Q27+Q30,0)</f>
        <v>9665.289468379691</v>
      </c>
      <c r="R28" s="121">
        <f>IF(R27&lt;0,-R27+R30,0)</f>
        <v>0</v>
      </c>
      <c r="S28" s="467"/>
    </row>
    <row r="29" spans="2:19" ht="13.5" thickBot="1">
      <c r="B29" s="466"/>
      <c r="C29" s="44" t="s">
        <v>7</v>
      </c>
      <c r="D29" s="45" t="str">
        <f>$D$16</f>
        <v>Trim 1</v>
      </c>
      <c r="E29" s="45" t="str">
        <f>$E$16</f>
        <v>Trim 2</v>
      </c>
      <c r="F29" s="45" t="str">
        <f>$F$16</f>
        <v>Trim 3</v>
      </c>
      <c r="G29" s="118" t="str">
        <f>$G$16</f>
        <v>Trim 4</v>
      </c>
      <c r="H29" s="550" t="str">
        <f>H16</f>
        <v>Trim 5</v>
      </c>
      <c r="I29" s="467"/>
      <c r="K29" s="466"/>
      <c r="L29" s="228" t="s">
        <v>46</v>
      </c>
      <c r="M29" s="42"/>
      <c r="N29" s="516"/>
      <c r="O29" s="68">
        <f>IF(O27&gt;0,O27-O30,0)</f>
        <v>0</v>
      </c>
      <c r="P29" s="68">
        <f>IF(P27&gt;0,P27-P30,0)</f>
        <v>167395.15853334637</v>
      </c>
      <c r="Q29" s="68">
        <f>IF(Q27&gt;0,Q27-Q30,0)</f>
        <v>0</v>
      </c>
      <c r="R29" s="165">
        <f>IF(R27&gt;0,R27-R30,0)</f>
        <v>116440.96376836533</v>
      </c>
      <c r="S29" s="467"/>
    </row>
    <row r="30" spans="2:19" ht="12.75">
      <c r="B30" s="466"/>
      <c r="C30" s="46" t="s">
        <v>115</v>
      </c>
      <c r="D30" s="47">
        <f>D23</f>
        <v>2268750</v>
      </c>
      <c r="E30" s="47">
        <f>E23</f>
        <v>2549250</v>
      </c>
      <c r="F30" s="47">
        <f>F23</f>
        <v>2816921.2499999995</v>
      </c>
      <c r="G30" s="119">
        <f>G23</f>
        <v>3124615.7249999996</v>
      </c>
      <c r="H30" s="349"/>
      <c r="I30" s="467"/>
      <c r="K30" s="466"/>
      <c r="L30" s="228" t="s">
        <v>47</v>
      </c>
      <c r="M30" s="42"/>
      <c r="N30" s="516"/>
      <c r="O30" s="359">
        <f>Dados!B140</f>
        <v>600</v>
      </c>
      <c r="P30" s="359">
        <f>Dados!C140</f>
        <v>0</v>
      </c>
      <c r="Q30" s="359">
        <f>Dados!D140</f>
        <v>0</v>
      </c>
      <c r="R30" s="526">
        <f>Dados!E140</f>
        <v>0</v>
      </c>
      <c r="S30" s="467"/>
    </row>
    <row r="31" spans="2:19" ht="13.5" thickBot="1">
      <c r="B31" s="466"/>
      <c r="C31" s="53" t="s">
        <v>276</v>
      </c>
      <c r="D31" s="348">
        <f>Dados!B41</f>
        <v>90</v>
      </c>
      <c r="E31" s="348">
        <f>Dados!C41</f>
        <v>91</v>
      </c>
      <c r="F31" s="348">
        <f>Dados!D41</f>
        <v>92</v>
      </c>
      <c r="G31" s="350">
        <f>Dados!E41</f>
        <v>91</v>
      </c>
      <c r="H31" s="551">
        <f>Dados!F41</f>
        <v>90</v>
      </c>
      <c r="I31" s="467"/>
      <c r="K31" s="466"/>
      <c r="L31" s="230" t="s">
        <v>48</v>
      </c>
      <c r="M31" s="50"/>
      <c r="N31" s="519"/>
      <c r="O31" s="71">
        <f>O27+O28-O29</f>
        <v>600</v>
      </c>
      <c r="P31" s="71">
        <f>P27+P28-P29</f>
        <v>0</v>
      </c>
      <c r="Q31" s="71">
        <f>Q27+Q28-Q29</f>
        <v>0</v>
      </c>
      <c r="R31" s="168">
        <f>R27+R28-R29</f>
        <v>0</v>
      </c>
      <c r="S31" s="467"/>
    </row>
    <row r="32" spans="2:19" ht="13.5" thickBot="1">
      <c r="B32" s="466"/>
      <c r="C32" s="48" t="s">
        <v>277</v>
      </c>
      <c r="D32" s="49">
        <f>D30/D31</f>
        <v>25208.333333333332</v>
      </c>
      <c r="E32" s="49">
        <f>E30/E31</f>
        <v>28013.736263736264</v>
      </c>
      <c r="F32" s="49">
        <f>F30/F31</f>
        <v>30618.70923913043</v>
      </c>
      <c r="G32" s="121">
        <f>G30/G31</f>
        <v>34336.43653846154</v>
      </c>
      <c r="H32" s="20"/>
      <c r="I32" s="467"/>
      <c r="K32" s="470"/>
      <c r="L32" s="471"/>
      <c r="M32" s="471"/>
      <c r="N32" s="471"/>
      <c r="O32" s="471"/>
      <c r="P32" s="471"/>
      <c r="Q32" s="471"/>
      <c r="R32" s="471"/>
      <c r="S32" s="472"/>
    </row>
    <row r="33" spans="2:9" ht="13.5" thickBot="1">
      <c r="B33" s="466"/>
      <c r="C33" s="53" t="s">
        <v>278</v>
      </c>
      <c r="D33" s="69">
        <f>((1+$F$13)*30)/2</f>
        <v>60</v>
      </c>
      <c r="E33" s="69">
        <f>((1+$F$13)*30)/2</f>
        <v>60</v>
      </c>
      <c r="F33" s="69">
        <f>((1+$F$13)*30)/2</f>
        <v>60</v>
      </c>
      <c r="G33" s="122">
        <f>((1+$F$13)*30)/2</f>
        <v>60</v>
      </c>
      <c r="H33" s="20"/>
      <c r="I33" s="467"/>
    </row>
    <row r="34" spans="2:19" ht="13.5" thickBot="1">
      <c r="B34" s="466"/>
      <c r="C34" s="50" t="s">
        <v>279</v>
      </c>
      <c r="D34" s="51">
        <f>IF(D31&gt;D33,D32*D33,D30)</f>
        <v>1512500</v>
      </c>
      <c r="E34" s="51">
        <f>IF(E31&gt;E33,E32*E33,IF(E33&lt;60,E30+D30*(D33-30)/D31,E30+D30))</f>
        <v>1680824.1758241758</v>
      </c>
      <c r="F34" s="51">
        <f>IF(F31&gt;F33,F32*F33,IF(F33&lt;60,F30+E30*(E33-30)/E31,IF(F33&lt;90,F30+E30+(F33-60)/F31*D30,F30+E30+D30)))</f>
        <v>1837122.5543478257</v>
      </c>
      <c r="G34" s="123">
        <f>IF(G31&gt;G33,G32*G33,IF(G33&lt;60,G30+F30*(F33-30)/F31,IF(G33&lt;90,G30+F30+(G33-60)/E31*E30,IF(G33&lt;120,G30+F30+E30+(G33-90)/D31*D30,G30+F30+E30+D30))))</f>
        <v>2060186.1923076923</v>
      </c>
      <c r="H34" s="20"/>
      <c r="I34" s="467"/>
      <c r="K34" s="463" t="s">
        <v>580</v>
      </c>
      <c r="L34" s="464"/>
      <c r="M34" s="464"/>
      <c r="N34" s="464"/>
      <c r="O34" s="464"/>
      <c r="P34" s="464"/>
      <c r="Q34" s="464"/>
      <c r="R34" s="464"/>
      <c r="S34" s="465"/>
    </row>
    <row r="35" spans="2:19" ht="13.5" thickBot="1">
      <c r="B35" s="466"/>
      <c r="C35" s="61" t="s">
        <v>118</v>
      </c>
      <c r="D35" s="351">
        <f>Dados!B42</f>
        <v>450</v>
      </c>
      <c r="E35" s="148">
        <f>D39</f>
        <v>1512500</v>
      </c>
      <c r="F35" s="148">
        <f>E39</f>
        <v>1680824.1758241758</v>
      </c>
      <c r="G35" s="156">
        <f>F39</f>
        <v>1837122.5543478257</v>
      </c>
      <c r="H35" s="20"/>
      <c r="I35" s="467"/>
      <c r="K35" s="466"/>
      <c r="L35" s="20"/>
      <c r="M35" s="20"/>
      <c r="N35" s="20"/>
      <c r="O35" s="20"/>
      <c r="P35" s="20"/>
      <c r="Q35" s="20"/>
      <c r="R35" s="20"/>
      <c r="S35" s="467"/>
    </row>
    <row r="36" spans="2:19" ht="13.5" thickBot="1">
      <c r="B36" s="466"/>
      <c r="C36" s="42" t="s">
        <v>148</v>
      </c>
      <c r="D36" s="89">
        <f>D30</f>
        <v>2268750</v>
      </c>
      <c r="E36" s="89">
        <f>E30</f>
        <v>2549250</v>
      </c>
      <c r="F36" s="89">
        <f>F30</f>
        <v>2816921.2499999995</v>
      </c>
      <c r="G36" s="125">
        <f>G30</f>
        <v>3124615.7249999996</v>
      </c>
      <c r="H36" s="20"/>
      <c r="I36" s="467"/>
      <c r="K36" s="466"/>
      <c r="L36" s="231" t="s">
        <v>54</v>
      </c>
      <c r="M36" s="39"/>
      <c r="N36" s="522"/>
      <c r="O36" s="40" t="str">
        <f>O4</f>
        <v>Trim 1</v>
      </c>
      <c r="P36" s="40" t="str">
        <f>P4</f>
        <v>Trim 2</v>
      </c>
      <c r="Q36" s="40" t="str">
        <f>Q4</f>
        <v>Trim 3</v>
      </c>
      <c r="R36" s="84" t="str">
        <f>R4</f>
        <v>Trim 4</v>
      </c>
      <c r="S36" s="467"/>
    </row>
    <row r="37" spans="2:19" ht="12.75">
      <c r="B37" s="466"/>
      <c r="C37" s="42" t="s">
        <v>245</v>
      </c>
      <c r="D37" s="89">
        <f>Dados!$B39*D36</f>
        <v>22687.5</v>
      </c>
      <c r="E37" s="89">
        <f>Dados!$B39*E36</f>
        <v>25492.5</v>
      </c>
      <c r="F37" s="89">
        <f>Dados!$B39*F36</f>
        <v>28169.212499999994</v>
      </c>
      <c r="G37" s="125">
        <f>Dados!$B39*G36</f>
        <v>31246.157249999997</v>
      </c>
      <c r="H37" s="20"/>
      <c r="I37" s="467"/>
      <c r="K37" s="466"/>
      <c r="L37" s="619" t="s">
        <v>585</v>
      </c>
      <c r="M37" s="61"/>
      <c r="N37" s="592"/>
      <c r="O37" s="620">
        <f>D24</f>
        <v>3025000</v>
      </c>
      <c r="P37" s="620">
        <f>E24</f>
        <v>3399000</v>
      </c>
      <c r="Q37" s="620">
        <f>F24</f>
        <v>3755894.9999999995</v>
      </c>
      <c r="R37" s="621">
        <f>G24</f>
        <v>4166154.3</v>
      </c>
      <c r="S37" s="467"/>
    </row>
    <row r="38" spans="2:19" ht="12.75">
      <c r="B38" s="466"/>
      <c r="C38" s="48" t="s">
        <v>8</v>
      </c>
      <c r="D38" s="136">
        <f>D35+D36-D39-D37</f>
        <v>734012.5</v>
      </c>
      <c r="E38" s="136">
        <f>E35+E36-E39-E37</f>
        <v>2355433.3241758244</v>
      </c>
      <c r="F38" s="136">
        <f>F35+F36-F39-F37</f>
        <v>2632453.65897635</v>
      </c>
      <c r="G38" s="137">
        <f>G35+G36-G39-G37</f>
        <v>2870305.9297901336</v>
      </c>
      <c r="H38" s="20"/>
      <c r="I38" s="467"/>
      <c r="K38" s="466"/>
      <c r="L38" s="227"/>
      <c r="M38" s="41" t="s">
        <v>586</v>
      </c>
      <c r="N38" s="515"/>
      <c r="O38" s="169">
        <f aca="true" t="shared" si="1" ref="O38:R39">-D25</f>
        <v>-275000</v>
      </c>
      <c r="P38" s="169">
        <f t="shared" si="1"/>
        <v>-309000</v>
      </c>
      <c r="Q38" s="169">
        <f t="shared" si="1"/>
        <v>-341445</v>
      </c>
      <c r="R38" s="232">
        <f t="shared" si="1"/>
        <v>-378741.30000000005</v>
      </c>
      <c r="S38" s="467"/>
    </row>
    <row r="39" spans="2:19" ht="13.5" thickBot="1">
      <c r="B39" s="466"/>
      <c r="C39" s="296" t="s">
        <v>9</v>
      </c>
      <c r="D39" s="51">
        <f>D34</f>
        <v>1512500</v>
      </c>
      <c r="E39" s="51">
        <f>E34</f>
        <v>1680824.1758241758</v>
      </c>
      <c r="F39" s="51">
        <f>F34</f>
        <v>1837122.5543478257</v>
      </c>
      <c r="G39" s="123">
        <f>G34</f>
        <v>2060186.1923076923</v>
      </c>
      <c r="H39" s="20"/>
      <c r="I39" s="467"/>
      <c r="K39" s="466"/>
      <c r="L39" s="227"/>
      <c r="M39" s="41" t="s">
        <v>110</v>
      </c>
      <c r="N39" s="515"/>
      <c r="O39" s="169">
        <f t="shared" si="1"/>
        <v>-495000</v>
      </c>
      <c r="P39" s="169">
        <f t="shared" si="1"/>
        <v>-556200</v>
      </c>
      <c r="Q39" s="169">
        <f t="shared" si="1"/>
        <v>-614600.9999999999</v>
      </c>
      <c r="R39" s="232">
        <f t="shared" si="1"/>
        <v>-681734.34</v>
      </c>
      <c r="S39" s="467"/>
    </row>
    <row r="40" spans="2:19" ht="13.5" thickBot="1">
      <c r="B40" s="470"/>
      <c r="C40" s="471"/>
      <c r="D40" s="471"/>
      <c r="E40" s="471"/>
      <c r="F40" s="471"/>
      <c r="G40" s="471"/>
      <c r="H40" s="471"/>
      <c r="I40" s="472"/>
      <c r="K40" s="466"/>
      <c r="L40" s="227" t="s">
        <v>131</v>
      </c>
      <c r="M40" s="41"/>
      <c r="N40" s="515"/>
      <c r="O40" s="169">
        <f>SUM(O37:O39)</f>
        <v>2255000</v>
      </c>
      <c r="P40" s="169">
        <f>SUM(P37:P39)</f>
        <v>2533800</v>
      </c>
      <c r="Q40" s="169">
        <f>SUM(Q37:Q39)</f>
        <v>2799848.9999999995</v>
      </c>
      <c r="R40" s="232">
        <f>SUM(R37:R39)</f>
        <v>3105678.66</v>
      </c>
      <c r="S40" s="467"/>
    </row>
    <row r="41" spans="11:19" ht="13.5" thickBot="1">
      <c r="K41" s="466"/>
      <c r="L41" s="228"/>
      <c r="M41" s="42" t="s">
        <v>587</v>
      </c>
      <c r="N41" s="516"/>
      <c r="O41" s="152">
        <f>-D461</f>
        <v>-2153022.1518556625</v>
      </c>
      <c r="P41" s="152">
        <f>-E461</f>
        <v>-2414535.983097762</v>
      </c>
      <c r="Q41" s="152">
        <f>-F461</f>
        <v>-2603520.0464148135</v>
      </c>
      <c r="R41" s="158">
        <f>-G461</f>
        <v>-2806683.422034724</v>
      </c>
      <c r="S41" s="467"/>
    </row>
    <row r="42" spans="2:19" ht="12.75">
      <c r="B42" s="463" t="s">
        <v>461</v>
      </c>
      <c r="C42" s="464"/>
      <c r="D42" s="464"/>
      <c r="E42" s="464"/>
      <c r="F42" s="464"/>
      <c r="G42" s="464"/>
      <c r="H42" s="464"/>
      <c r="I42" s="465"/>
      <c r="K42" s="466"/>
      <c r="L42" s="228" t="s">
        <v>57</v>
      </c>
      <c r="M42" s="42"/>
      <c r="N42" s="516"/>
      <c r="O42" s="152">
        <f>SUM(O40:O41)</f>
        <v>101977.84814433753</v>
      </c>
      <c r="P42" s="152">
        <f>SUM(P40:P41)</f>
        <v>119264.01690223813</v>
      </c>
      <c r="Q42" s="152">
        <f>SUM(Q40:Q41)</f>
        <v>196328.95358518604</v>
      </c>
      <c r="R42" s="158">
        <f>SUM(R40:R41)</f>
        <v>298995.237965276</v>
      </c>
      <c r="S42" s="625"/>
    </row>
    <row r="43" spans="2:19" ht="13.5" thickBot="1">
      <c r="B43" s="466"/>
      <c r="C43" s="20"/>
      <c r="D43" s="20"/>
      <c r="E43" s="20"/>
      <c r="F43" s="20"/>
      <c r="G43" s="20"/>
      <c r="H43" s="20"/>
      <c r="I43" s="467"/>
      <c r="K43" s="466"/>
      <c r="L43" s="228"/>
      <c r="M43" s="42" t="s">
        <v>588</v>
      </c>
      <c r="N43" s="516"/>
      <c r="O43" s="152">
        <f>-D580</f>
        <v>-25500</v>
      </c>
      <c r="P43" s="152">
        <f>-E580</f>
        <v>-28090.8</v>
      </c>
      <c r="Q43" s="152">
        <f>-F580</f>
        <v>-30076.433999999997</v>
      </c>
      <c r="R43" s="158">
        <f>-G580</f>
        <v>-32358.967559999997</v>
      </c>
      <c r="S43" s="467"/>
    </row>
    <row r="44" spans="2:19" ht="12.75">
      <c r="B44" s="466"/>
      <c r="C44" s="46" t="s">
        <v>260</v>
      </c>
      <c r="D44" s="81" t="str">
        <f>$D$16</f>
        <v>Trim 1</v>
      </c>
      <c r="E44" s="81" t="str">
        <f>$E$16</f>
        <v>Trim 2</v>
      </c>
      <c r="F44" s="81" t="str">
        <f>$F$16</f>
        <v>Trim 3</v>
      </c>
      <c r="G44" s="81" t="str">
        <f>$G$16</f>
        <v>Trim 4</v>
      </c>
      <c r="H44" s="82" t="str">
        <f>$H$16</f>
        <v>Trim 5</v>
      </c>
      <c r="I44" s="467"/>
      <c r="K44" s="466"/>
      <c r="L44" s="228"/>
      <c r="M44" s="42" t="s">
        <v>589</v>
      </c>
      <c r="N44" s="516"/>
      <c r="O44" s="152">
        <f>-D522</f>
        <v>-21900</v>
      </c>
      <c r="P44" s="152">
        <f>-E522</f>
        <v>-23586.48</v>
      </c>
      <c r="Q44" s="152">
        <f>-F522</f>
        <v>-24777.860399999998</v>
      </c>
      <c r="R44" s="158">
        <f>-G522</f>
        <v>-26147.380535999997</v>
      </c>
      <c r="S44" s="467"/>
    </row>
    <row r="45" spans="2:19" ht="12.75">
      <c r="B45" s="466"/>
      <c r="C45" s="53" t="s">
        <v>149</v>
      </c>
      <c r="D45" s="69">
        <f>D17</f>
        <v>11000</v>
      </c>
      <c r="E45" s="69">
        <f>E17</f>
        <v>12000</v>
      </c>
      <c r="F45" s="69">
        <f>F17</f>
        <v>13000</v>
      </c>
      <c r="G45" s="69">
        <f>G17</f>
        <v>14000</v>
      </c>
      <c r="H45" s="122">
        <f>H17</f>
        <v>12000</v>
      </c>
      <c r="I45" s="467"/>
      <c r="K45" s="466"/>
      <c r="L45" s="228"/>
      <c r="M45" s="42" t="s">
        <v>590</v>
      </c>
      <c r="N45" s="516"/>
      <c r="O45" s="152">
        <f>-D620</f>
        <v>-500</v>
      </c>
      <c r="P45" s="152">
        <f>-E620</f>
        <v>-500</v>
      </c>
      <c r="Q45" s="152">
        <f>-F620</f>
        <v>-500</v>
      </c>
      <c r="R45" s="158">
        <f>-G620</f>
        <v>-500</v>
      </c>
      <c r="S45" s="467"/>
    </row>
    <row r="46" spans="2:19" ht="12.75">
      <c r="B46" s="466"/>
      <c r="C46" s="53" t="s">
        <v>290</v>
      </c>
      <c r="D46" s="341">
        <f>Dados!B43</f>
        <v>20</v>
      </c>
      <c r="E46" s="341">
        <f>Dados!C43</f>
        <v>20</v>
      </c>
      <c r="F46" s="341">
        <f>Dados!D43</f>
        <v>20</v>
      </c>
      <c r="G46" s="341">
        <f>Dados!E43</f>
        <v>20</v>
      </c>
      <c r="H46" s="352">
        <f>Dados!F43</f>
        <v>20</v>
      </c>
      <c r="I46" s="467"/>
      <c r="K46" s="466"/>
      <c r="L46" s="236"/>
      <c r="M46" s="63" t="s">
        <v>245</v>
      </c>
      <c r="N46" s="523"/>
      <c r="O46" s="283">
        <f>-D37</f>
        <v>-22687.5</v>
      </c>
      <c r="P46" s="283">
        <f>-E37</f>
        <v>-25492.5</v>
      </c>
      <c r="Q46" s="283">
        <f>-F37</f>
        <v>-28169.212499999994</v>
      </c>
      <c r="R46" s="284">
        <f>-G37</f>
        <v>-31246.157249999997</v>
      </c>
      <c r="S46" s="467"/>
    </row>
    <row r="47" spans="2:19" ht="12.75">
      <c r="B47" s="466"/>
      <c r="C47" s="53" t="s">
        <v>262</v>
      </c>
      <c r="D47" s="69">
        <f>ROUNDUP(E45*D46/D31,0)</f>
        <v>2667</v>
      </c>
      <c r="E47" s="69">
        <f>ROUNDUP(F45*E46/E31,0)</f>
        <v>2858</v>
      </c>
      <c r="F47" s="69">
        <f>ROUNDUP(G45*F46/F31,0)</f>
        <v>3044</v>
      </c>
      <c r="G47" s="69">
        <f>ROUNDUP(H45*G46/G31,0)</f>
        <v>2638</v>
      </c>
      <c r="H47" s="122">
        <f>ROUNDUP(I37*H46/H31,0)</f>
        <v>0</v>
      </c>
      <c r="I47" s="467"/>
      <c r="K47" s="466"/>
      <c r="L47" s="236"/>
      <c r="M47" s="63" t="s">
        <v>644</v>
      </c>
      <c r="N47" s="523"/>
      <c r="O47" s="283">
        <f>-D652</f>
        <v>-7762.499999999999</v>
      </c>
      <c r="P47" s="283">
        <f>-E652</f>
        <v>-7917.749999999999</v>
      </c>
      <c r="Q47" s="283">
        <f>-F652</f>
        <v>-8883.7155</v>
      </c>
      <c r="R47" s="284">
        <f>-G652</f>
        <v>-9704.786175</v>
      </c>
      <c r="S47" s="467"/>
    </row>
    <row r="48" spans="2:19" ht="12.75">
      <c r="B48" s="466"/>
      <c r="C48" s="53" t="s">
        <v>263</v>
      </c>
      <c r="D48" s="341">
        <f>Dados!B44</f>
        <v>100</v>
      </c>
      <c r="E48" s="69">
        <f>D47</f>
        <v>2667</v>
      </c>
      <c r="F48" s="69">
        <f>E47</f>
        <v>2858</v>
      </c>
      <c r="G48" s="69">
        <f>F47</f>
        <v>3044</v>
      </c>
      <c r="H48" s="122">
        <f>G47</f>
        <v>2638</v>
      </c>
      <c r="I48" s="467"/>
      <c r="K48" s="466"/>
      <c r="L48" s="236"/>
      <c r="M48" s="63" t="s">
        <v>669</v>
      </c>
      <c r="N48" s="523"/>
      <c r="O48" s="283">
        <f>D660</f>
        <v>7537.499999999999</v>
      </c>
      <c r="P48" s="283">
        <f>E660</f>
        <v>4880.750000000003</v>
      </c>
      <c r="Q48" s="283">
        <f>F660</f>
        <v>8414.591999999999</v>
      </c>
      <c r="R48" s="284">
        <f>G660</f>
        <v>11836.558634999948</v>
      </c>
      <c r="S48" s="467"/>
    </row>
    <row r="49" spans="2:19" ht="12.75">
      <c r="B49" s="466"/>
      <c r="C49" s="54" t="s">
        <v>500</v>
      </c>
      <c r="D49" s="490">
        <f>D45+D47-D48</f>
        <v>13567</v>
      </c>
      <c r="E49" s="490">
        <f>E45+E47-E48</f>
        <v>12191</v>
      </c>
      <c r="F49" s="490">
        <f>F45+F47-F48</f>
        <v>13186</v>
      </c>
      <c r="G49" s="490">
        <f>G45+G47-G48</f>
        <v>13594</v>
      </c>
      <c r="H49" s="491"/>
      <c r="I49" s="467"/>
      <c r="K49" s="466"/>
      <c r="L49" s="236"/>
      <c r="M49" s="63" t="s">
        <v>670</v>
      </c>
      <c r="N49" s="523"/>
      <c r="O49" s="283">
        <f>-(D674+D679)</f>
        <v>-6061.900000000023</v>
      </c>
      <c r="P49" s="283">
        <f>-(E674+E679)</f>
        <v>-6037.90696288674</v>
      </c>
      <c r="Q49" s="283">
        <f>-(F674+F679)</f>
        <v>-10213.577551397284</v>
      </c>
      <c r="R49" s="284">
        <f>-(G674+G679)</f>
        <v>-18111.556329270505</v>
      </c>
      <c r="S49" s="467"/>
    </row>
    <row r="50" spans="2:19" ht="13.5" thickBot="1">
      <c r="B50" s="466"/>
      <c r="C50" s="54" t="s">
        <v>501</v>
      </c>
      <c r="D50" s="489">
        <f>Dados!B50</f>
        <v>200</v>
      </c>
      <c r="E50" s="489">
        <f>Dados!C50</f>
        <v>0</v>
      </c>
      <c r="F50" s="489">
        <f>Dados!D50</f>
        <v>0</v>
      </c>
      <c r="G50" s="489">
        <f>Dados!E50</f>
        <v>0</v>
      </c>
      <c r="H50" s="491"/>
      <c r="I50" s="467"/>
      <c r="K50" s="466"/>
      <c r="L50" s="230" t="s">
        <v>59</v>
      </c>
      <c r="M50" s="64"/>
      <c r="N50" s="524"/>
      <c r="O50" s="71">
        <f>SUM(O42:O49)</f>
        <v>25103.44814433751</v>
      </c>
      <c r="P50" s="71">
        <f>SUM(P42:P49)</f>
        <v>32519.32993935139</v>
      </c>
      <c r="Q50" s="71">
        <f>SUM(Q42:Q49)</f>
        <v>102122.74563378876</v>
      </c>
      <c r="R50" s="168">
        <f>SUM(R42:R49)</f>
        <v>192762.94875000542</v>
      </c>
      <c r="S50" s="625"/>
    </row>
    <row r="51" spans="2:19" ht="13.5" thickBot="1">
      <c r="B51" s="466"/>
      <c r="C51" s="54" t="s">
        <v>502</v>
      </c>
      <c r="D51" s="500">
        <f>Dados!B46</f>
        <v>150</v>
      </c>
      <c r="E51" s="492">
        <f>D50</f>
        <v>200</v>
      </c>
      <c r="F51" s="492">
        <f>E50</f>
        <v>0</v>
      </c>
      <c r="G51" s="492">
        <f>F50</f>
        <v>0</v>
      </c>
      <c r="H51" s="491"/>
      <c r="I51" s="467"/>
      <c r="K51" s="470"/>
      <c r="L51" s="471"/>
      <c r="M51" s="471"/>
      <c r="N51" s="471"/>
      <c r="O51" s="626"/>
      <c r="P51" s="471"/>
      <c r="Q51" s="471"/>
      <c r="R51" s="471"/>
      <c r="S51" s="472"/>
    </row>
    <row r="52" spans="2:9" ht="13.5" thickBot="1">
      <c r="B52" s="466"/>
      <c r="C52" s="296" t="s">
        <v>261</v>
      </c>
      <c r="D52" s="318">
        <f>D49+D50-D51</f>
        <v>13617</v>
      </c>
      <c r="E52" s="318">
        <f>E49+E50-E51</f>
        <v>11991</v>
      </c>
      <c r="F52" s="318">
        <f>F49+F50-F51</f>
        <v>13186</v>
      </c>
      <c r="G52" s="318">
        <f>G49+G50-G51</f>
        <v>13594</v>
      </c>
      <c r="H52" s="319">
        <f>H45+H47-H48</f>
        <v>9362</v>
      </c>
      <c r="I52" s="467"/>
    </row>
    <row r="53" spans="2:26" s="105" customFormat="1" ht="13.5" thickBot="1">
      <c r="B53" s="473"/>
      <c r="C53" s="474"/>
      <c r="D53" s="474"/>
      <c r="E53" s="474"/>
      <c r="F53" s="474"/>
      <c r="G53" s="474"/>
      <c r="H53" s="474"/>
      <c r="I53" s="475"/>
      <c r="J53"/>
      <c r="K53" s="463" t="s">
        <v>592</v>
      </c>
      <c r="L53" s="464"/>
      <c r="M53" s="464"/>
      <c r="N53" s="464"/>
      <c r="O53" s="464"/>
      <c r="P53" s="464"/>
      <c r="Q53" s="464"/>
      <c r="R53" s="464"/>
      <c r="S53" s="465"/>
      <c r="T53"/>
      <c r="U53"/>
      <c r="V53"/>
      <c r="W53"/>
      <c r="X53"/>
      <c r="Y53"/>
      <c r="Z53"/>
    </row>
    <row r="54" spans="3:26" s="105" customFormat="1" ht="13.5" thickBot="1">
      <c r="C54" s="111"/>
      <c r="D54" s="111"/>
      <c r="E54" s="111"/>
      <c r="F54" s="111"/>
      <c r="G54" s="111"/>
      <c r="H54" s="111"/>
      <c r="J54"/>
      <c r="K54" s="466"/>
      <c r="L54" s="20"/>
      <c r="M54" s="20"/>
      <c r="N54" s="20"/>
      <c r="O54" s="20"/>
      <c r="P54" s="20"/>
      <c r="Q54" s="20"/>
      <c r="R54" s="20"/>
      <c r="S54" s="467"/>
      <c r="T54"/>
      <c r="U54"/>
      <c r="V54"/>
      <c r="W54"/>
      <c r="X54"/>
      <c r="Y54"/>
      <c r="Z54"/>
    </row>
    <row r="55" spans="2:19" ht="13.5" thickBot="1">
      <c r="B55" s="463" t="s">
        <v>462</v>
      </c>
      <c r="C55" s="464"/>
      <c r="D55" s="464"/>
      <c r="E55" s="464"/>
      <c r="F55" s="464"/>
      <c r="G55" s="464"/>
      <c r="H55" s="464"/>
      <c r="I55" s="465"/>
      <c r="K55" s="466"/>
      <c r="L55" s="231" t="s">
        <v>60</v>
      </c>
      <c r="M55" s="39"/>
      <c r="N55" s="522" t="s">
        <v>591</v>
      </c>
      <c r="O55" s="40" t="str">
        <f>O36</f>
        <v>Trim 1</v>
      </c>
      <c r="P55" s="40" t="str">
        <f>P36</f>
        <v>Trim 2</v>
      </c>
      <c r="Q55" s="40" t="str">
        <f>Q36</f>
        <v>Trim 3</v>
      </c>
      <c r="R55" s="84" t="str">
        <f>R36</f>
        <v>Trim 4</v>
      </c>
      <c r="S55" s="467"/>
    </row>
    <row r="56" spans="2:19" ht="13.5" thickBot="1">
      <c r="B56" s="466"/>
      <c r="C56" s="20"/>
      <c r="D56" s="20"/>
      <c r="E56" s="20"/>
      <c r="F56" s="20"/>
      <c r="G56" s="20"/>
      <c r="H56" s="20"/>
      <c r="I56" s="467"/>
      <c r="K56" s="466"/>
      <c r="L56" s="591" t="s">
        <v>61</v>
      </c>
      <c r="M56" s="61"/>
      <c r="N56" s="592"/>
      <c r="O56" s="75"/>
      <c r="P56" s="75"/>
      <c r="Q56" s="75"/>
      <c r="R56" s="76"/>
      <c r="S56" s="467"/>
    </row>
    <row r="57" spans="2:19" ht="12.75">
      <c r="B57" s="466"/>
      <c r="C57" s="61" t="s">
        <v>264</v>
      </c>
      <c r="D57" s="81"/>
      <c r="E57" s="81"/>
      <c r="F57" s="81" t="s">
        <v>143</v>
      </c>
      <c r="G57" s="82"/>
      <c r="H57" s="101"/>
      <c r="I57" s="467"/>
      <c r="J57" s="105"/>
      <c r="K57" s="466"/>
      <c r="L57" s="234"/>
      <c r="M57" s="53" t="s">
        <v>62</v>
      </c>
      <c r="N57" s="531">
        <f>O25</f>
        <v>600</v>
      </c>
      <c r="O57" s="537">
        <f>O31</f>
        <v>600</v>
      </c>
      <c r="P57" s="537">
        <f>P31</f>
        <v>0</v>
      </c>
      <c r="Q57" s="537">
        <f>Q31</f>
        <v>0</v>
      </c>
      <c r="R57" s="538">
        <f>R31</f>
        <v>0</v>
      </c>
      <c r="S57" s="467"/>
    </row>
    <row r="58" spans="2:19" ht="12.75">
      <c r="B58" s="466"/>
      <c r="C58" s="42" t="s">
        <v>5</v>
      </c>
      <c r="D58" s="89">
        <f>($D$60/($F$58+$F$59))*F58</f>
        <v>35</v>
      </c>
      <c r="E58" s="67"/>
      <c r="F58" s="339">
        <f>Dados!D8</f>
        <v>1</v>
      </c>
      <c r="G58" s="77"/>
      <c r="H58" s="103"/>
      <c r="I58" s="467"/>
      <c r="J58" s="105"/>
      <c r="K58" s="466"/>
      <c r="L58" s="233"/>
      <c r="M58" s="53" t="s">
        <v>151</v>
      </c>
      <c r="N58" s="539">
        <f>Dados!B141</f>
        <v>0</v>
      </c>
      <c r="O58" s="537">
        <f>O29+N58</f>
        <v>0</v>
      </c>
      <c r="P58" s="537">
        <f>P29+O58</f>
        <v>167395.15853334637</v>
      </c>
      <c r="Q58" s="537">
        <f>Q29+P58</f>
        <v>167395.15853334637</v>
      </c>
      <c r="R58" s="538">
        <f>R29+Q58</f>
        <v>283836.1223017117</v>
      </c>
      <c r="S58" s="467"/>
    </row>
    <row r="59" spans="2:19" ht="12.75">
      <c r="B59" s="466"/>
      <c r="C59" s="42" t="s">
        <v>280</v>
      </c>
      <c r="D59" s="89">
        <f>($D$60/($F$58+$F$59))*F59</f>
        <v>35</v>
      </c>
      <c r="E59" s="67"/>
      <c r="F59" s="339">
        <f>Dados!D9</f>
        <v>1</v>
      </c>
      <c r="G59" s="78"/>
      <c r="H59" s="112"/>
      <c r="I59" s="467"/>
      <c r="K59" s="466"/>
      <c r="L59" s="233"/>
      <c r="M59" s="53" t="s">
        <v>38</v>
      </c>
      <c r="N59" s="531">
        <f>D35</f>
        <v>450</v>
      </c>
      <c r="O59" s="537">
        <f>D39</f>
        <v>1512500</v>
      </c>
      <c r="P59" s="537">
        <f>E39</f>
        <v>1680824.1758241758</v>
      </c>
      <c r="Q59" s="537">
        <f>F39</f>
        <v>1837122.5543478257</v>
      </c>
      <c r="R59" s="538">
        <f>G39</f>
        <v>2060186.1923076923</v>
      </c>
      <c r="S59" s="467"/>
    </row>
    <row r="60" spans="2:19" ht="13.5" thickBot="1">
      <c r="B60" s="466"/>
      <c r="C60" s="64" t="s">
        <v>281</v>
      </c>
      <c r="D60" s="353">
        <f>Dados!B9</f>
        <v>70</v>
      </c>
      <c r="E60" s="72"/>
      <c r="F60" s="79"/>
      <c r="G60" s="80"/>
      <c r="H60" s="101"/>
      <c r="I60" s="467"/>
      <c r="K60" s="466"/>
      <c r="L60" s="233"/>
      <c r="M60" s="53" t="s">
        <v>596</v>
      </c>
      <c r="N60" s="531">
        <f>D98</f>
        <v>10000</v>
      </c>
      <c r="O60" s="537">
        <f>D103</f>
        <v>454552.63678575825</v>
      </c>
      <c r="P60" s="537">
        <f>E103</f>
        <v>0</v>
      </c>
      <c r="Q60" s="537">
        <f>F103</f>
        <v>0</v>
      </c>
      <c r="R60" s="538">
        <f>G103</f>
        <v>0</v>
      </c>
      <c r="S60" s="467"/>
    </row>
    <row r="61" spans="2:19" ht="13.5" thickBot="1">
      <c r="B61" s="466"/>
      <c r="C61" s="20"/>
      <c r="D61" s="20"/>
      <c r="E61" s="20"/>
      <c r="F61" s="20"/>
      <c r="G61" s="20"/>
      <c r="H61" s="101"/>
      <c r="I61" s="467"/>
      <c r="K61" s="466"/>
      <c r="L61" s="233"/>
      <c r="M61" s="53" t="s">
        <v>594</v>
      </c>
      <c r="N61" s="531">
        <f>D424</f>
        <v>80</v>
      </c>
      <c r="O61" s="537">
        <f>D437</f>
        <v>39286.97809445558</v>
      </c>
      <c r="P61" s="537">
        <f>E437</f>
        <v>0</v>
      </c>
      <c r="Q61" s="537">
        <f>F437</f>
        <v>0</v>
      </c>
      <c r="R61" s="538">
        <f>G437</f>
        <v>0</v>
      </c>
      <c r="S61" s="467"/>
    </row>
    <row r="62" spans="2:19" ht="12.75">
      <c r="B62" s="466"/>
      <c r="C62" s="46" t="s">
        <v>284</v>
      </c>
      <c r="D62" s="81" t="str">
        <f>$D$16</f>
        <v>Trim 1</v>
      </c>
      <c r="E62" s="81" t="str">
        <f>$E$16</f>
        <v>Trim 2</v>
      </c>
      <c r="F62" s="81" t="str">
        <f>$F$16</f>
        <v>Trim 3</v>
      </c>
      <c r="G62" s="82" t="str">
        <f>$G$16</f>
        <v>Trim 4</v>
      </c>
      <c r="H62" s="354" t="str">
        <f>$H$16</f>
        <v>Trim 5</v>
      </c>
      <c r="I62" s="467"/>
      <c r="K62" s="466"/>
      <c r="L62" s="233"/>
      <c r="M62" s="53" t="s">
        <v>603</v>
      </c>
      <c r="N62" s="531">
        <f>D457</f>
        <v>0</v>
      </c>
      <c r="O62" s="537">
        <f>D412</f>
        <v>-10056.15362669935</v>
      </c>
      <c r="P62" s="537">
        <f>E412</f>
        <v>7673.039210640971</v>
      </c>
      <c r="Q62" s="537">
        <f>F412</f>
        <v>5088.394510458311</v>
      </c>
      <c r="R62" s="538">
        <f>G412</f>
        <v>2.9103830456733704E-11</v>
      </c>
      <c r="S62" s="467"/>
    </row>
    <row r="63" spans="2:19" ht="12.75">
      <c r="B63" s="466"/>
      <c r="C63" s="53" t="s">
        <v>267</v>
      </c>
      <c r="D63" s="339">
        <f>Dados!B48</f>
        <v>3</v>
      </c>
      <c r="E63" s="339">
        <f>Dados!C48</f>
        <v>3</v>
      </c>
      <c r="F63" s="339">
        <f>Dados!D48</f>
        <v>3</v>
      </c>
      <c r="G63" s="356">
        <f>Dados!E48</f>
        <v>3</v>
      </c>
      <c r="H63" s="357">
        <f>Dados!F48</f>
        <v>3</v>
      </c>
      <c r="I63" s="467"/>
      <c r="K63" s="466"/>
      <c r="L63" s="233"/>
      <c r="M63" s="53" t="s">
        <v>595</v>
      </c>
      <c r="N63" s="531">
        <f>D458</f>
        <v>10000</v>
      </c>
      <c r="O63" s="537">
        <f>D462</f>
        <v>522010.007181732</v>
      </c>
      <c r="P63" s="537">
        <f>E462</f>
        <v>575061.9866411169</v>
      </c>
      <c r="Q63" s="537">
        <f>F462</f>
        <v>609624.2324066684</v>
      </c>
      <c r="R63" s="538">
        <f>G462</f>
        <v>528859.3476662575</v>
      </c>
      <c r="S63" s="467"/>
    </row>
    <row r="64" spans="2:19" ht="12.75">
      <c r="B64" s="466"/>
      <c r="C64" s="53" t="s">
        <v>266</v>
      </c>
      <c r="D64" s="67">
        <f>D52</f>
        <v>13617</v>
      </c>
      <c r="E64" s="67">
        <f>E52</f>
        <v>11991</v>
      </c>
      <c r="F64" s="67">
        <f>F52</f>
        <v>13186</v>
      </c>
      <c r="G64" s="77">
        <f>G52</f>
        <v>13594</v>
      </c>
      <c r="H64" s="349">
        <f>H52</f>
        <v>9362</v>
      </c>
      <c r="I64" s="467"/>
      <c r="K64" s="466"/>
      <c r="L64" s="233"/>
      <c r="M64" s="53" t="s">
        <v>137</v>
      </c>
      <c r="N64" s="531">
        <f>SUM(N65:N67)</f>
        <v>250000</v>
      </c>
      <c r="O64" s="531">
        <f>SUM(O65:O67)</f>
        <v>249775</v>
      </c>
      <c r="P64" s="531">
        <f>SUM(P65:P67)</f>
        <v>278409</v>
      </c>
      <c r="Q64" s="531">
        <f>SUM(Q65:Q67)</f>
        <v>299476.15650000004</v>
      </c>
      <c r="R64" s="622">
        <f>SUM(R65:R67)</f>
        <v>301607.92895999993</v>
      </c>
      <c r="S64" s="467"/>
    </row>
    <row r="65" spans="2:19" ht="13.5" thickBot="1">
      <c r="B65" s="466"/>
      <c r="C65" s="53" t="s">
        <v>265</v>
      </c>
      <c r="D65" s="69">
        <f>D63*D64</f>
        <v>40851</v>
      </c>
      <c r="E65" s="69">
        <f>E63*E64</f>
        <v>35973</v>
      </c>
      <c r="F65" s="69">
        <f>F63*F64</f>
        <v>39558</v>
      </c>
      <c r="G65" s="122">
        <f>G63*G64</f>
        <v>40782</v>
      </c>
      <c r="H65" s="355">
        <f>H63*H64</f>
        <v>28086</v>
      </c>
      <c r="I65" s="467"/>
      <c r="K65" s="466"/>
      <c r="L65" s="233"/>
      <c r="M65" s="53" t="s">
        <v>649</v>
      </c>
      <c r="N65" s="540">
        <f>Dados!B142</f>
        <v>300000</v>
      </c>
      <c r="O65" s="537">
        <f>D640+N65</f>
        <v>300000</v>
      </c>
      <c r="P65" s="537">
        <f>E640+O65</f>
        <v>331671</v>
      </c>
      <c r="Q65" s="537">
        <f>F640+P65</f>
        <v>353207.28</v>
      </c>
      <c r="R65" s="538">
        <f>G640+Q65</f>
        <v>353207.28</v>
      </c>
      <c r="S65" s="467"/>
    </row>
    <row r="66" spans="2:19" ht="12.75">
      <c r="B66" s="466"/>
      <c r="C66" s="53" t="s">
        <v>270</v>
      </c>
      <c r="D66" s="341">
        <f>Dados!B49</f>
        <v>20</v>
      </c>
      <c r="E66" s="341">
        <f>Dados!C49</f>
        <v>0</v>
      </c>
      <c r="F66" s="341">
        <f>Dados!D49</f>
        <v>0</v>
      </c>
      <c r="G66" s="352">
        <f>Dados!E49</f>
        <v>0</v>
      </c>
      <c r="H66" s="20"/>
      <c r="I66" s="467"/>
      <c r="K66" s="466"/>
      <c r="L66" s="233"/>
      <c r="M66" s="53" t="s">
        <v>249</v>
      </c>
      <c r="N66" s="540"/>
      <c r="O66" s="531">
        <f>D641</f>
        <v>9000</v>
      </c>
      <c r="P66" s="531">
        <f>E641+O66</f>
        <v>15027.000000000004</v>
      </c>
      <c r="Q66" s="531">
        <f>F641+P66</f>
        <v>25534.019999999993</v>
      </c>
      <c r="R66" s="622">
        <f>G641+Q66</f>
        <v>40683.67199999993</v>
      </c>
      <c r="S66" s="467"/>
    </row>
    <row r="67" spans="2:19" ht="12.75">
      <c r="B67" s="466"/>
      <c r="C67" s="53" t="s">
        <v>12</v>
      </c>
      <c r="D67" s="62">
        <f>ROUNDUP(E65*(D66/E31),0)</f>
        <v>7907</v>
      </c>
      <c r="E67" s="62">
        <f>ROUNDUP(F65*(E66/F31),0)</f>
        <v>0</v>
      </c>
      <c r="F67" s="62">
        <f>ROUNDUP(G65*(F66/G31),0)</f>
        <v>0</v>
      </c>
      <c r="G67" s="159">
        <f>ROUNDUP(H65*(G66/H31),0)</f>
        <v>0</v>
      </c>
      <c r="H67" s="20"/>
      <c r="I67" s="467"/>
      <c r="K67" s="466"/>
      <c r="L67" s="233"/>
      <c r="M67" s="53" t="s">
        <v>645</v>
      </c>
      <c r="N67" s="540">
        <f>-Dados!B145</f>
        <v>-50000</v>
      </c>
      <c r="O67" s="623">
        <f>-D654</f>
        <v>-59225</v>
      </c>
      <c r="P67" s="623">
        <f>-E654</f>
        <v>-68289</v>
      </c>
      <c r="Q67" s="623">
        <f>-F654</f>
        <v>-79265.14349999999</v>
      </c>
      <c r="R67" s="624">
        <f>-G654</f>
        <v>-92283.02303999999</v>
      </c>
      <c r="S67" s="467"/>
    </row>
    <row r="68" spans="2:19" ht="12.75">
      <c r="B68" s="466"/>
      <c r="C68" s="53" t="s">
        <v>297</v>
      </c>
      <c r="D68" s="341">
        <f>Dados!B51</f>
        <v>100</v>
      </c>
      <c r="E68" s="62">
        <f>D67</f>
        <v>7907</v>
      </c>
      <c r="F68" s="62">
        <f>E67</f>
        <v>0</v>
      </c>
      <c r="G68" s="159">
        <f>F67</f>
        <v>0</v>
      </c>
      <c r="H68" s="107"/>
      <c r="I68" s="467"/>
      <c r="K68" s="466"/>
      <c r="L68" s="235"/>
      <c r="M68" s="48" t="s">
        <v>20</v>
      </c>
      <c r="N68" s="541">
        <f>SUM(N57:N64)</f>
        <v>271130</v>
      </c>
      <c r="O68" s="541">
        <f>SUM(O57:O64)</f>
        <v>2768668.4684352465</v>
      </c>
      <c r="P68" s="541">
        <f>SUM(P57:P64)</f>
        <v>2709363.36020928</v>
      </c>
      <c r="Q68" s="541">
        <f>SUM(Q57:Q64)</f>
        <v>2918706.4962982987</v>
      </c>
      <c r="R68" s="542">
        <f>SUM(R57:R64)</f>
        <v>3174489.591235661</v>
      </c>
      <c r="S68" s="467"/>
    </row>
    <row r="69" spans="2:20" ht="12.75">
      <c r="B69" s="466"/>
      <c r="C69" s="48" t="s">
        <v>287</v>
      </c>
      <c r="D69" s="323">
        <f>D65+D67-D68</f>
        <v>48658</v>
      </c>
      <c r="E69" s="323">
        <f>E65+E67-E68</f>
        <v>28066</v>
      </c>
      <c r="F69" s="323">
        <f>F65+F67-F68</f>
        <v>39558</v>
      </c>
      <c r="G69" s="324">
        <f>G65+G67-G68</f>
        <v>40782</v>
      </c>
      <c r="H69" s="107"/>
      <c r="I69" s="467"/>
      <c r="K69" s="466"/>
      <c r="L69" s="233" t="s">
        <v>64</v>
      </c>
      <c r="M69" s="53"/>
      <c r="N69" s="531"/>
      <c r="O69" s="543"/>
      <c r="P69" s="543"/>
      <c r="Q69" s="543"/>
      <c r="R69" s="496"/>
      <c r="S69" s="467"/>
      <c r="T69" s="105"/>
    </row>
    <row r="70" spans="2:20" ht="12.75">
      <c r="B70" s="466"/>
      <c r="C70" s="53" t="s">
        <v>16</v>
      </c>
      <c r="D70" s="89">
        <f>D60</f>
        <v>70</v>
      </c>
      <c r="E70" s="89">
        <f>D70+D70*D14</f>
        <v>72.1</v>
      </c>
      <c r="F70" s="89">
        <f>E70+E70*E14</f>
        <v>73.54199999999999</v>
      </c>
      <c r="G70" s="125">
        <f>F70+F70*F14</f>
        <v>75.74825999999999</v>
      </c>
      <c r="H70" s="113"/>
      <c r="I70" s="467"/>
      <c r="K70" s="466"/>
      <c r="L70" s="234"/>
      <c r="M70" s="53" t="s">
        <v>41</v>
      </c>
      <c r="N70" s="531">
        <f>D87</f>
        <v>200</v>
      </c>
      <c r="O70" s="537">
        <f>D90</f>
        <v>624444.3333333333</v>
      </c>
      <c r="P70" s="537">
        <f>E90</f>
        <v>366908.97692307696</v>
      </c>
      <c r="Q70" s="537">
        <f>F90</f>
        <v>506557.38913043484</v>
      </c>
      <c r="R70" s="538">
        <f>G90</f>
        <v>533146.223076923</v>
      </c>
      <c r="S70" s="467"/>
      <c r="T70" s="105"/>
    </row>
    <row r="71" spans="2:19" ht="12.75">
      <c r="B71" s="466"/>
      <c r="C71" s="48" t="s">
        <v>286</v>
      </c>
      <c r="D71" s="49">
        <f>D69*D70</f>
        <v>3406060</v>
      </c>
      <c r="E71" s="49">
        <f>E69*E70</f>
        <v>2023558.5999999999</v>
      </c>
      <c r="F71" s="49">
        <f>F69*F70</f>
        <v>2909174.4359999993</v>
      </c>
      <c r="G71" s="121">
        <f>G69*G70</f>
        <v>3089165.5393199995</v>
      </c>
      <c r="H71" s="114"/>
      <c r="I71" s="467"/>
      <c r="K71" s="466"/>
      <c r="L71" s="233"/>
      <c r="M71" s="53" t="s">
        <v>553</v>
      </c>
      <c r="N71" s="531">
        <f>D605</f>
        <v>0</v>
      </c>
      <c r="O71" s="537">
        <f>D607</f>
        <v>-21868.666666666664</v>
      </c>
      <c r="P71" s="537">
        <f>E607</f>
        <v>35157.4087912088</v>
      </c>
      <c r="Q71" s="537">
        <f>F607</f>
        <v>16476.37708695654</v>
      </c>
      <c r="R71" s="538">
        <f>G607</f>
        <v>23019.147055384645</v>
      </c>
      <c r="S71" s="467"/>
    </row>
    <row r="72" spans="2:19" ht="12.75">
      <c r="B72" s="466"/>
      <c r="C72" s="53" t="s">
        <v>601</v>
      </c>
      <c r="D72" s="89">
        <f>D71*Dados!$B5</f>
        <v>340606</v>
      </c>
      <c r="E72" s="89">
        <f>E71*Dados!$B5</f>
        <v>202355.86</v>
      </c>
      <c r="F72" s="89">
        <f>F71*Dados!$B5</f>
        <v>290917.44359999994</v>
      </c>
      <c r="G72" s="125">
        <f>G71*Dados!$B5</f>
        <v>308916.55393199995</v>
      </c>
      <c r="H72" s="114"/>
      <c r="I72" s="467"/>
      <c r="K72" s="466"/>
      <c r="L72" s="233"/>
      <c r="M72" s="53" t="s">
        <v>105</v>
      </c>
      <c r="N72" s="531">
        <f>D592</f>
        <v>0</v>
      </c>
      <c r="O72" s="537">
        <f>D594</f>
        <v>-39363.59999999998</v>
      </c>
      <c r="P72" s="537">
        <f>E594</f>
        <v>63283.33582417584</v>
      </c>
      <c r="Q72" s="537">
        <f>F594</f>
        <v>29657.47875652175</v>
      </c>
      <c r="R72" s="538">
        <f>G594</f>
        <v>41434.464699692326</v>
      </c>
      <c r="S72" s="467"/>
    </row>
    <row r="73" spans="2:19" ht="12.75">
      <c r="B73" s="466"/>
      <c r="C73" s="48" t="s">
        <v>288</v>
      </c>
      <c r="D73" s="49">
        <f>D71+D72</f>
        <v>3746666</v>
      </c>
      <c r="E73" s="49">
        <f>E71+E72</f>
        <v>2225914.46</v>
      </c>
      <c r="F73" s="49">
        <f>F71+F72</f>
        <v>3200091.879599999</v>
      </c>
      <c r="G73" s="121">
        <f>G71+G72</f>
        <v>3398082.0932519995</v>
      </c>
      <c r="H73" s="114"/>
      <c r="I73" s="467"/>
      <c r="K73" s="466"/>
      <c r="L73" s="235"/>
      <c r="M73" s="42" t="s">
        <v>65</v>
      </c>
      <c r="N73" s="544">
        <f>Dados!B146</f>
        <v>200</v>
      </c>
      <c r="O73" s="537">
        <f>O28+N73</f>
        <v>1903561.0536242425</v>
      </c>
      <c r="P73" s="537">
        <f>P28+O73</f>
        <v>1903561.0536242425</v>
      </c>
      <c r="Q73" s="537">
        <f>Q28+P73</f>
        <v>1913226.3430926222</v>
      </c>
      <c r="R73" s="538">
        <f>R28+Q73</f>
        <v>1913226.3430926222</v>
      </c>
      <c r="S73" s="467"/>
    </row>
    <row r="74" spans="2:19" ht="12.75">
      <c r="B74" s="466"/>
      <c r="C74" s="53" t="s">
        <v>50</v>
      </c>
      <c r="D74" s="136">
        <f>D58*1.1*D69</f>
        <v>1873333</v>
      </c>
      <c r="E74" s="136">
        <f>$D$58*1.1*(1+D14)*E69</f>
        <v>1112957.23</v>
      </c>
      <c r="F74" s="136">
        <f>$D$58*1.1*(1+E14)*F69</f>
        <v>1553442.6600000001</v>
      </c>
      <c r="G74" s="137">
        <f>$D$58*1.1*(1+F14)*G69</f>
        <v>1617210.21</v>
      </c>
      <c r="H74" s="113"/>
      <c r="I74" s="467"/>
      <c r="K74" s="478"/>
      <c r="L74" s="233" t="s">
        <v>66</v>
      </c>
      <c r="M74" s="42"/>
      <c r="N74" s="545"/>
      <c r="O74" s="543"/>
      <c r="P74" s="543"/>
      <c r="Q74" s="543"/>
      <c r="R74" s="546"/>
      <c r="S74" s="479"/>
    </row>
    <row r="75" spans="2:19" ht="12.75">
      <c r="B75" s="466"/>
      <c r="C75" s="53" t="s">
        <v>282</v>
      </c>
      <c r="D75" s="89">
        <f>D59*1.1*D69</f>
        <v>1873333</v>
      </c>
      <c r="E75" s="89">
        <f>$D$59*1.1*(1+D14)*E69</f>
        <v>1112957.23</v>
      </c>
      <c r="F75" s="89">
        <f>$D$59*1.1*(1+E14)*F69</f>
        <v>1553442.6600000001</v>
      </c>
      <c r="G75" s="125">
        <f>$D$59*1.1*(1+F14)*G69</f>
        <v>1617210.21</v>
      </c>
      <c r="H75" s="113"/>
      <c r="I75" s="467"/>
      <c r="K75" s="478"/>
      <c r="L75" s="233"/>
      <c r="M75" s="42" t="s">
        <v>138</v>
      </c>
      <c r="N75" s="544">
        <f>Dados!B149</f>
        <v>268730</v>
      </c>
      <c r="O75" s="537">
        <f>D666</f>
        <v>268730</v>
      </c>
      <c r="P75" s="537">
        <f>E666</f>
        <v>268730</v>
      </c>
      <c r="Q75" s="537">
        <f>F666</f>
        <v>268730</v>
      </c>
      <c r="R75" s="538">
        <f>G666</f>
        <v>268730</v>
      </c>
      <c r="S75" s="479"/>
    </row>
    <row r="76" spans="2:19" ht="12.75">
      <c r="B76" s="466"/>
      <c r="C76" s="48" t="s">
        <v>288</v>
      </c>
      <c r="D76" s="49">
        <f>D74+D75</f>
        <v>3746666</v>
      </c>
      <c r="E76" s="49">
        <f>E74+E75</f>
        <v>2225914.46</v>
      </c>
      <c r="F76" s="49">
        <f>F74+F75</f>
        <v>3106885.3200000003</v>
      </c>
      <c r="G76" s="121">
        <f>G74+G75</f>
        <v>3234420.42</v>
      </c>
      <c r="H76" s="113"/>
      <c r="I76" s="467"/>
      <c r="K76" s="478"/>
      <c r="L76" s="233"/>
      <c r="M76" s="42" t="s">
        <v>659</v>
      </c>
      <c r="N76" s="544">
        <f>Dados!B148</f>
        <v>2000</v>
      </c>
      <c r="O76" s="537">
        <f>D673</f>
        <v>8061.900000000023</v>
      </c>
      <c r="P76" s="537">
        <f>E673</f>
        <v>13597.738000000012</v>
      </c>
      <c r="Q76" s="537">
        <f>F673</f>
        <v>22067.570140000025</v>
      </c>
      <c r="R76" s="538">
        <f>G673</f>
        <v>33699.47294560005</v>
      </c>
      <c r="S76" s="479"/>
    </row>
    <row r="77" spans="2:19" ht="12.75">
      <c r="B77" s="466"/>
      <c r="C77" s="53" t="s">
        <v>602</v>
      </c>
      <c r="D77" s="89">
        <f>D72</f>
        <v>340606</v>
      </c>
      <c r="E77" s="89">
        <f>E72</f>
        <v>202355.86</v>
      </c>
      <c r="F77" s="89">
        <f>F72</f>
        <v>290917.44359999994</v>
      </c>
      <c r="G77" s="125">
        <f>G72</f>
        <v>308916.55393199995</v>
      </c>
      <c r="H77" s="113"/>
      <c r="I77" s="467"/>
      <c r="K77" s="466"/>
      <c r="L77" s="236"/>
      <c r="M77" s="42" t="s">
        <v>67</v>
      </c>
      <c r="N77" s="544">
        <f>Dados!B150</f>
        <v>0</v>
      </c>
      <c r="O77" s="537">
        <f>D677+O50</f>
        <v>25103.44814433751</v>
      </c>
      <c r="P77" s="537">
        <f>E677+P50</f>
        <v>58124.847046575655</v>
      </c>
      <c r="Q77" s="537">
        <f>F677+Q50</f>
        <v>161991.3380917617</v>
      </c>
      <c r="R77" s="538">
        <f>G677+R50</f>
        <v>361233.9403654376</v>
      </c>
      <c r="S77" s="467"/>
    </row>
    <row r="78" spans="2:19" ht="13.5" thickBot="1">
      <c r="B78" s="466"/>
      <c r="C78" s="53" t="s">
        <v>283</v>
      </c>
      <c r="D78" s="89">
        <f>Dados!$B6*D71</f>
        <v>613090.7999999999</v>
      </c>
      <c r="E78" s="89">
        <f>Dados!$B6*E71</f>
        <v>364240.54799999995</v>
      </c>
      <c r="F78" s="89">
        <f>Dados!$B6*F71</f>
        <v>523651.39847999986</v>
      </c>
      <c r="G78" s="125">
        <f>Dados!$B6*G71</f>
        <v>556049.7970775999</v>
      </c>
      <c r="H78" s="113"/>
      <c r="I78" s="467"/>
      <c r="K78" s="466"/>
      <c r="L78" s="237"/>
      <c r="M78" s="50" t="s">
        <v>20</v>
      </c>
      <c r="N78" s="51">
        <f>SUM(N70:N77)</f>
        <v>271130</v>
      </c>
      <c r="O78" s="51">
        <f>SUM(O70:O77)</f>
        <v>2768668.4684352465</v>
      </c>
      <c r="P78" s="51">
        <f>SUM(P70:P77)</f>
        <v>2709363.3602092797</v>
      </c>
      <c r="Q78" s="51">
        <f>SUM(Q70:Q77)</f>
        <v>2918706.496298297</v>
      </c>
      <c r="R78" s="123">
        <f>SUM(R70:R77)</f>
        <v>3174489.59123566</v>
      </c>
      <c r="S78" s="467"/>
    </row>
    <row r="79" spans="2:19" ht="13.5" thickBot="1">
      <c r="B79" s="466"/>
      <c r="C79" s="50" t="s">
        <v>285</v>
      </c>
      <c r="D79" s="51">
        <f>D76-D77-D78</f>
        <v>2792969.2</v>
      </c>
      <c r="E79" s="51">
        <f>E76-E77-E78</f>
        <v>1659318.0520000001</v>
      </c>
      <c r="F79" s="51">
        <f>F76-F77-F78</f>
        <v>2292316.4779200004</v>
      </c>
      <c r="G79" s="123">
        <f>G76-G77-G78</f>
        <v>2369454.0689904</v>
      </c>
      <c r="H79" s="113"/>
      <c r="I79" s="467"/>
      <c r="K79" s="466"/>
      <c r="L79" s="20"/>
      <c r="M79" s="20"/>
      <c r="N79" s="527">
        <f>N68-N78</f>
        <v>0</v>
      </c>
      <c r="O79" s="527">
        <f>O68-O78</f>
        <v>0</v>
      </c>
      <c r="P79" s="527">
        <f>P68-P78</f>
        <v>0</v>
      </c>
      <c r="Q79" s="527">
        <f>Q68-Q78</f>
        <v>0</v>
      </c>
      <c r="R79" s="527">
        <f>R68-R78</f>
        <v>0</v>
      </c>
      <c r="S79" s="467"/>
    </row>
    <row r="80" spans="2:19" ht="13.5" thickBot="1">
      <c r="B80" s="466"/>
      <c r="C80" s="20"/>
      <c r="D80" s="20"/>
      <c r="E80" s="20"/>
      <c r="F80" s="20"/>
      <c r="G80" s="20"/>
      <c r="H80" s="101"/>
      <c r="I80" s="467"/>
      <c r="K80" s="466"/>
      <c r="L80" s="20"/>
      <c r="M80" s="20"/>
      <c r="N80" s="20"/>
      <c r="O80" s="20"/>
      <c r="P80" s="528">
        <f>P79-O79</f>
        <v>0</v>
      </c>
      <c r="Q80" s="528">
        <f>Q79-P79</f>
        <v>0</v>
      </c>
      <c r="R80" s="528">
        <f>R79-Q79</f>
        <v>0</v>
      </c>
      <c r="S80" s="467"/>
    </row>
    <row r="81" spans="2:19" ht="13.5" thickBot="1">
      <c r="B81" s="466"/>
      <c r="C81" s="44" t="s">
        <v>30</v>
      </c>
      <c r="D81" s="45" t="str">
        <f>$D$16</f>
        <v>Trim 1</v>
      </c>
      <c r="E81" s="45" t="str">
        <f>$E$16</f>
        <v>Trim 2</v>
      </c>
      <c r="F81" s="45" t="str">
        <f>$F$16</f>
        <v>Trim 3</v>
      </c>
      <c r="G81" s="118" t="str">
        <f>$G$16</f>
        <v>Trim 4</v>
      </c>
      <c r="H81" s="20"/>
      <c r="I81" s="467"/>
      <c r="K81" s="470"/>
      <c r="L81" s="471"/>
      <c r="M81" s="471"/>
      <c r="N81" s="471"/>
      <c r="O81" s="471"/>
      <c r="P81" s="471"/>
      <c r="Q81" s="471"/>
      <c r="R81" s="471"/>
      <c r="S81" s="472"/>
    </row>
    <row r="82" spans="2:9" ht="13.5" thickBot="1">
      <c r="B82" s="466"/>
      <c r="C82" s="46" t="s">
        <v>51</v>
      </c>
      <c r="D82" s="47">
        <f>D75</f>
        <v>1873333</v>
      </c>
      <c r="E82" s="47">
        <f>E75</f>
        <v>1112957.23</v>
      </c>
      <c r="F82" s="47">
        <f>F75</f>
        <v>1553442.6600000001</v>
      </c>
      <c r="G82" s="119">
        <f>G75</f>
        <v>1617210.21</v>
      </c>
      <c r="H82" s="20"/>
      <c r="I82" s="467"/>
    </row>
    <row r="83" spans="2:19" ht="12.75">
      <c r="B83" s="466"/>
      <c r="C83" s="48" t="s">
        <v>116</v>
      </c>
      <c r="D83" s="56">
        <f>D31</f>
        <v>90</v>
      </c>
      <c r="E83" s="56">
        <f>E31</f>
        <v>91</v>
      </c>
      <c r="F83" s="56">
        <f>F31</f>
        <v>92</v>
      </c>
      <c r="G83" s="139">
        <f>G31</f>
        <v>91</v>
      </c>
      <c r="H83" s="20"/>
      <c r="I83" s="467"/>
      <c r="K83" s="463" t="s">
        <v>618</v>
      </c>
      <c r="L83" s="464"/>
      <c r="M83" s="464"/>
      <c r="N83" s="464"/>
      <c r="O83" s="464">
        <f>1747+263+256+737</f>
        <v>3003</v>
      </c>
      <c r="P83" s="464"/>
      <c r="Q83" s="464"/>
      <c r="R83" s="464"/>
      <c r="S83" s="465"/>
    </row>
    <row r="84" spans="2:19" ht="13.5" thickBot="1">
      <c r="B84" s="466"/>
      <c r="C84" s="48" t="s">
        <v>121</v>
      </c>
      <c r="D84" s="49">
        <f>D82/D83</f>
        <v>20814.81111111111</v>
      </c>
      <c r="E84" s="49">
        <f>E82/E83</f>
        <v>12230.299230769231</v>
      </c>
      <c r="F84" s="49">
        <f>F82/F83</f>
        <v>16885.246304347827</v>
      </c>
      <c r="G84" s="121">
        <f>G82/G83</f>
        <v>17771.540769230767</v>
      </c>
      <c r="H84" s="20"/>
      <c r="I84" s="467"/>
      <c r="K84" s="466"/>
      <c r="L84" s="20"/>
      <c r="M84" s="20"/>
      <c r="N84" s="20"/>
      <c r="O84" s="20"/>
      <c r="P84" s="20"/>
      <c r="Q84" s="528"/>
      <c r="R84" s="528"/>
      <c r="S84" s="467"/>
    </row>
    <row r="85" spans="2:19" ht="12.75">
      <c r="B85" s="466"/>
      <c r="C85" s="48" t="s">
        <v>122</v>
      </c>
      <c r="D85" s="69">
        <f>((1+$F$59)*30)/2</f>
        <v>30</v>
      </c>
      <c r="E85" s="69">
        <f>((1+$F$59)*30)/2</f>
        <v>30</v>
      </c>
      <c r="F85" s="69">
        <f>((1+$F$59)*30)/2</f>
        <v>30</v>
      </c>
      <c r="G85" s="122">
        <f>((1+$F$59)*30)/2</f>
        <v>30</v>
      </c>
      <c r="H85" s="20"/>
      <c r="I85" s="467"/>
      <c r="K85" s="466"/>
      <c r="L85" s="46" t="s">
        <v>606</v>
      </c>
      <c r="M85" s="75"/>
      <c r="N85" s="75"/>
      <c r="O85" s="81" t="str">
        <f>O55</f>
        <v>Trim 1</v>
      </c>
      <c r="P85" s="81" t="str">
        <f>P55</f>
        <v>Trim 2</v>
      </c>
      <c r="Q85" s="81" t="str">
        <f>Q55</f>
        <v>Trim 3</v>
      </c>
      <c r="R85" s="82" t="str">
        <f>R55</f>
        <v>Trim 4</v>
      </c>
      <c r="S85" s="467"/>
    </row>
    <row r="86" spans="2:19" ht="13.5" thickBot="1">
      <c r="B86" s="466"/>
      <c r="C86" s="50" t="s">
        <v>123</v>
      </c>
      <c r="D86" s="51">
        <f>IF(D83&gt;D85,D84*D85,D82)</f>
        <v>624444.3333333333</v>
      </c>
      <c r="E86" s="51">
        <f>IF(E83&gt;E85,E84*E85,IF(E85&lt;60,E82+D82*(D85-30)/D83,E82+D82))</f>
        <v>366908.97692307696</v>
      </c>
      <c r="F86" s="51">
        <f>IF(F83&gt;F85,F84*F85,IF(F85&lt;60,F82+E82*(E85-30)/E83,IF(F85&lt;90,F82+E82+(F85-60)/F83*D82,F82+E82+D82)))</f>
        <v>506557.38913043484</v>
      </c>
      <c r="G86" s="123">
        <f>IF(G83&gt;G85,G84*G85,IF(G85&lt;60,G82+F82*(F85-30)/F83,IF(G85&lt;90,G82+F82+(G85-60)/E83*E82,IF(G85&lt;120,G82+F82+E82+(G85-90)/D83*D82,G82+F82+E82+D82))))</f>
        <v>533146.223076923</v>
      </c>
      <c r="H86" s="20"/>
      <c r="I86" s="467"/>
      <c r="K86" s="466"/>
      <c r="L86" s="48" t="s">
        <v>607</v>
      </c>
      <c r="M86" s="67"/>
      <c r="N86" s="67"/>
      <c r="O86" s="198">
        <f>O50</f>
        <v>25103.44814433751</v>
      </c>
      <c r="P86" s="198">
        <f>P50</f>
        <v>32519.32993935139</v>
      </c>
      <c r="Q86" s="198">
        <f>Q50</f>
        <v>102122.74563378876</v>
      </c>
      <c r="R86" s="204">
        <f>R50</f>
        <v>192762.94875000542</v>
      </c>
      <c r="S86" s="467"/>
    </row>
    <row r="87" spans="2:19" ht="12.75">
      <c r="B87" s="466"/>
      <c r="C87" s="41" t="s">
        <v>31</v>
      </c>
      <c r="D87" s="358">
        <f>Dados!B52</f>
        <v>200</v>
      </c>
      <c r="E87" s="98">
        <f>D90</f>
        <v>624444.3333333333</v>
      </c>
      <c r="F87" s="98">
        <f>E90</f>
        <v>366908.97692307696</v>
      </c>
      <c r="G87" s="124">
        <f>F90</f>
        <v>506557.38913043484</v>
      </c>
      <c r="H87" s="20"/>
      <c r="I87" s="467"/>
      <c r="K87" s="466"/>
      <c r="L87" s="48" t="s">
        <v>647</v>
      </c>
      <c r="M87" s="67"/>
      <c r="N87" s="67"/>
      <c r="O87" s="198">
        <f>-O47</f>
        <v>7762.499999999999</v>
      </c>
      <c r="P87" s="198">
        <f>-P47</f>
        <v>7917.749999999999</v>
      </c>
      <c r="Q87" s="198">
        <f>-Q47</f>
        <v>8883.7155</v>
      </c>
      <c r="R87" s="204">
        <f>-R47</f>
        <v>9704.786175</v>
      </c>
      <c r="S87" s="467"/>
    </row>
    <row r="88" spans="2:19" ht="12.75">
      <c r="B88" s="466"/>
      <c r="C88" s="42" t="s">
        <v>26</v>
      </c>
      <c r="D88" s="89">
        <f>D82</f>
        <v>1873333</v>
      </c>
      <c r="E88" s="89">
        <f>E82</f>
        <v>1112957.23</v>
      </c>
      <c r="F88" s="89">
        <f>F82</f>
        <v>1553442.6600000001</v>
      </c>
      <c r="G88" s="125">
        <f>G82</f>
        <v>1617210.21</v>
      </c>
      <c r="H88" s="20"/>
      <c r="I88" s="467"/>
      <c r="K88" s="466"/>
      <c r="L88" s="48" t="s">
        <v>648</v>
      </c>
      <c r="M88" s="67"/>
      <c r="N88" s="67"/>
      <c r="O88" s="198">
        <f>-(O48+O49)</f>
        <v>-1475.5999999999758</v>
      </c>
      <c r="P88" s="198">
        <f>-(P48+P49)</f>
        <v>1157.1569628867373</v>
      </c>
      <c r="Q88" s="198">
        <f>-(Q48+Q49)</f>
        <v>1798.9855513972852</v>
      </c>
      <c r="R88" s="204">
        <f>-(R48+R49)</f>
        <v>6274.997694270556</v>
      </c>
      <c r="S88" s="467"/>
    </row>
    <row r="89" spans="2:19" ht="12.75">
      <c r="B89" s="466"/>
      <c r="C89" s="48" t="s">
        <v>32</v>
      </c>
      <c r="D89" s="138">
        <f>D87+D88-D90</f>
        <v>1249088.6666666667</v>
      </c>
      <c r="E89" s="138">
        <f>E87+E88-E90</f>
        <v>1370492.5864102563</v>
      </c>
      <c r="F89" s="138">
        <f>F87+F88-F90</f>
        <v>1413794.247792642</v>
      </c>
      <c r="G89" s="140">
        <f>G87+G88-G90</f>
        <v>1590621.3760535119</v>
      </c>
      <c r="H89" s="20"/>
      <c r="I89" s="467"/>
      <c r="K89" s="466"/>
      <c r="L89" s="48" t="s">
        <v>608</v>
      </c>
      <c r="M89" s="67"/>
      <c r="N89" s="67"/>
      <c r="O89" s="67"/>
      <c r="P89" s="67"/>
      <c r="Q89" s="67"/>
      <c r="R89" s="77"/>
      <c r="S89" s="467"/>
    </row>
    <row r="90" spans="2:19" ht="13.5" thickBot="1">
      <c r="B90" s="466"/>
      <c r="C90" s="296" t="s">
        <v>33</v>
      </c>
      <c r="D90" s="51">
        <f>D86</f>
        <v>624444.3333333333</v>
      </c>
      <c r="E90" s="51">
        <f>E86</f>
        <v>366908.97692307696</v>
      </c>
      <c r="F90" s="51">
        <f>F86</f>
        <v>506557.38913043484</v>
      </c>
      <c r="G90" s="123">
        <f>G86</f>
        <v>533146.223076923</v>
      </c>
      <c r="H90" s="20"/>
      <c r="I90" s="467"/>
      <c r="K90" s="466"/>
      <c r="L90" s="42"/>
      <c r="M90" s="67" t="str">
        <f aca="true" t="shared" si="2" ref="M90:M95">M58</f>
        <v>Aplicações de Recursos</v>
      </c>
      <c r="N90" s="67"/>
      <c r="O90" s="68">
        <f aca="true" t="shared" si="3" ref="O90:R95">IF(O58&lt;N58,N58-O58,0)</f>
        <v>0</v>
      </c>
      <c r="P90" s="68">
        <f t="shared" si="3"/>
        <v>0</v>
      </c>
      <c r="Q90" s="68">
        <f t="shared" si="3"/>
        <v>0</v>
      </c>
      <c r="R90" s="165">
        <f t="shared" si="3"/>
        <v>0</v>
      </c>
      <c r="S90" s="467"/>
    </row>
    <row r="91" spans="2:19" ht="13.5" thickBot="1">
      <c r="B91" s="466"/>
      <c r="C91" s="20"/>
      <c r="D91" s="20"/>
      <c r="E91" s="20"/>
      <c r="F91" s="20"/>
      <c r="G91" s="20"/>
      <c r="H91" s="20"/>
      <c r="I91" s="467"/>
      <c r="K91" s="466"/>
      <c r="L91" s="42"/>
      <c r="M91" s="67" t="str">
        <f t="shared" si="2"/>
        <v>Contas a Receber</v>
      </c>
      <c r="N91" s="67"/>
      <c r="O91" s="68">
        <f t="shared" si="3"/>
        <v>0</v>
      </c>
      <c r="P91" s="68">
        <f t="shared" si="3"/>
        <v>0</v>
      </c>
      <c r="Q91" s="68">
        <f t="shared" si="3"/>
        <v>0</v>
      </c>
      <c r="R91" s="165">
        <f t="shared" si="3"/>
        <v>0</v>
      </c>
      <c r="S91" s="467"/>
    </row>
    <row r="92" spans="2:19" ht="12.75">
      <c r="B92" s="466"/>
      <c r="C92" s="46" t="s">
        <v>289</v>
      </c>
      <c r="D92" s="81" t="str">
        <f>$D$16</f>
        <v>Trim 1</v>
      </c>
      <c r="E92" s="81" t="str">
        <f>$E$16</f>
        <v>Trim 2</v>
      </c>
      <c r="F92" s="81" t="str">
        <f>$F$16</f>
        <v>Trim 3</v>
      </c>
      <c r="G92" s="82" t="str">
        <f>$G$16</f>
        <v>Trim 4</v>
      </c>
      <c r="H92" s="20"/>
      <c r="I92" s="467"/>
      <c r="K92" s="466"/>
      <c r="L92" s="42"/>
      <c r="M92" s="67" t="str">
        <f t="shared" si="2"/>
        <v>Estoques de Matéria-Prima</v>
      </c>
      <c r="N92" s="67"/>
      <c r="O92" s="68">
        <f t="shared" si="3"/>
        <v>0</v>
      </c>
      <c r="P92" s="68">
        <f t="shared" si="3"/>
        <v>454552.63678575825</v>
      </c>
      <c r="Q92" s="68">
        <f t="shared" si="3"/>
        <v>0</v>
      </c>
      <c r="R92" s="165">
        <f t="shared" si="3"/>
        <v>0</v>
      </c>
      <c r="S92" s="467"/>
    </row>
    <row r="93" spans="2:19" ht="12.75">
      <c r="B93" s="466"/>
      <c r="C93" s="53" t="s">
        <v>291</v>
      </c>
      <c r="D93" s="69">
        <f aca="true" t="shared" si="4" ref="D93:G94">D68</f>
        <v>100</v>
      </c>
      <c r="E93" s="69">
        <f t="shared" si="4"/>
        <v>7907</v>
      </c>
      <c r="F93" s="69">
        <f t="shared" si="4"/>
        <v>0</v>
      </c>
      <c r="G93" s="122">
        <f t="shared" si="4"/>
        <v>0</v>
      </c>
      <c r="H93" s="20"/>
      <c r="I93" s="467"/>
      <c r="K93" s="466"/>
      <c r="L93" s="42"/>
      <c r="M93" s="67" t="str">
        <f t="shared" si="2"/>
        <v>Estoque de Produtos em Processo</v>
      </c>
      <c r="N93" s="67"/>
      <c r="O93" s="68">
        <f t="shared" si="3"/>
        <v>0</v>
      </c>
      <c r="P93" s="68">
        <f t="shared" si="3"/>
        <v>39286.97809445558</v>
      </c>
      <c r="Q93" s="68">
        <f t="shared" si="3"/>
        <v>0</v>
      </c>
      <c r="R93" s="165">
        <f t="shared" si="3"/>
        <v>0</v>
      </c>
      <c r="S93" s="467"/>
    </row>
    <row r="94" spans="2:30" s="17" customFormat="1" ht="12.75">
      <c r="B94" s="476"/>
      <c r="C94" s="53" t="s">
        <v>292</v>
      </c>
      <c r="D94" s="62">
        <f t="shared" si="4"/>
        <v>48658</v>
      </c>
      <c r="E94" s="62">
        <f t="shared" si="4"/>
        <v>28066</v>
      </c>
      <c r="F94" s="62">
        <f t="shared" si="4"/>
        <v>39558</v>
      </c>
      <c r="G94" s="159">
        <f t="shared" si="4"/>
        <v>40782</v>
      </c>
      <c r="H94" s="20"/>
      <c r="I94" s="477"/>
      <c r="J94"/>
      <c r="K94" s="466"/>
      <c r="L94" s="42"/>
      <c r="M94" s="67" t="str">
        <f t="shared" si="2"/>
        <v>Outros (Sobre ou Subabsorção do CIF)</v>
      </c>
      <c r="N94" s="67"/>
      <c r="O94" s="68">
        <f t="shared" si="3"/>
        <v>10056.15362669935</v>
      </c>
      <c r="P94" s="68">
        <f t="shared" si="3"/>
        <v>0</v>
      </c>
      <c r="Q94" s="68">
        <f t="shared" si="3"/>
        <v>2584.64470018266</v>
      </c>
      <c r="R94" s="165">
        <f t="shared" si="3"/>
        <v>5088.394510458282</v>
      </c>
      <c r="S94" s="467"/>
      <c r="T94"/>
      <c r="U94"/>
      <c r="V94"/>
      <c r="W94"/>
      <c r="X94"/>
      <c r="Y94"/>
      <c r="Z94"/>
      <c r="AA94"/>
      <c r="AB94"/>
      <c r="AC94"/>
      <c r="AD94"/>
    </row>
    <row r="95" spans="2:19" ht="12.75">
      <c r="B95" s="466"/>
      <c r="C95" s="48" t="s">
        <v>295</v>
      </c>
      <c r="D95" s="323">
        <f>D93+D94</f>
        <v>48758</v>
      </c>
      <c r="E95" s="323">
        <f>E93+E94</f>
        <v>35973</v>
      </c>
      <c r="F95" s="323">
        <f>F93+F94</f>
        <v>39558</v>
      </c>
      <c r="G95" s="324">
        <f>G93+G94</f>
        <v>40782</v>
      </c>
      <c r="H95" s="20"/>
      <c r="I95" s="467"/>
      <c r="K95" s="466"/>
      <c r="L95" s="42"/>
      <c r="M95" s="67" t="str">
        <f t="shared" si="2"/>
        <v>Estoque de Produtos Acabados</v>
      </c>
      <c r="N95" s="67"/>
      <c r="O95" s="68">
        <f t="shared" si="3"/>
        <v>0</v>
      </c>
      <c r="P95" s="68">
        <f t="shared" si="3"/>
        <v>0</v>
      </c>
      <c r="Q95" s="68">
        <f t="shared" si="3"/>
        <v>0</v>
      </c>
      <c r="R95" s="165">
        <f t="shared" si="3"/>
        <v>80764.88474041084</v>
      </c>
      <c r="S95" s="467"/>
    </row>
    <row r="96" spans="2:19" ht="12.75">
      <c r="B96" s="466"/>
      <c r="C96" s="53" t="s">
        <v>293</v>
      </c>
      <c r="D96" s="69">
        <f>D65</f>
        <v>40851</v>
      </c>
      <c r="E96" s="69">
        <f>E65</f>
        <v>35973</v>
      </c>
      <c r="F96" s="69">
        <f>F65</f>
        <v>39558</v>
      </c>
      <c r="G96" s="122">
        <f>G65</f>
        <v>40782</v>
      </c>
      <c r="H96" s="20"/>
      <c r="I96" s="467"/>
      <c r="K96" s="466"/>
      <c r="L96" s="42"/>
      <c r="M96" s="67" t="s">
        <v>649</v>
      </c>
      <c r="N96" s="67"/>
      <c r="O96" s="68">
        <f>IF(O65&lt;N65,N65-O65,0)</f>
        <v>0</v>
      </c>
      <c r="P96" s="68">
        <f>IF(P65&lt;O65,O65-P65,0)</f>
        <v>0</v>
      </c>
      <c r="Q96" s="68">
        <f>IF(Q65&lt;P65,P65-Q65,0)</f>
        <v>0</v>
      </c>
      <c r="R96" s="165">
        <f>IF(R65&lt;Q65,Q65-R65,0)</f>
        <v>0</v>
      </c>
      <c r="S96" s="467"/>
    </row>
    <row r="97" spans="2:19" ht="13.5" thickBot="1">
      <c r="B97" s="466"/>
      <c r="C97" s="50" t="s">
        <v>294</v>
      </c>
      <c r="D97" s="325">
        <f>D95-D96</f>
        <v>7907</v>
      </c>
      <c r="E97" s="325">
        <f>E95-E96</f>
        <v>0</v>
      </c>
      <c r="F97" s="325">
        <f>F95-F96</f>
        <v>0</v>
      </c>
      <c r="G97" s="326">
        <f>G95-G96</f>
        <v>0</v>
      </c>
      <c r="H97" s="20"/>
      <c r="I97" s="467"/>
      <c r="K97" s="466"/>
      <c r="L97" s="48" t="s">
        <v>609</v>
      </c>
      <c r="M97" s="67"/>
      <c r="N97" s="67"/>
      <c r="O97" s="67"/>
      <c r="P97" s="67"/>
      <c r="Q97" s="67"/>
      <c r="R97" s="77"/>
      <c r="S97" s="467"/>
    </row>
    <row r="98" spans="2:19" ht="12.75">
      <c r="B98" s="466"/>
      <c r="C98" s="53" t="s">
        <v>296</v>
      </c>
      <c r="D98" s="359">
        <f>Dados!B53</f>
        <v>10000</v>
      </c>
      <c r="E98" s="62">
        <f>D103</f>
        <v>454552.63678575825</v>
      </c>
      <c r="F98" s="62">
        <f>E103</f>
        <v>0</v>
      </c>
      <c r="G98" s="159">
        <f>F103</f>
        <v>0</v>
      </c>
      <c r="H98" s="20"/>
      <c r="I98" s="467"/>
      <c r="K98" s="466"/>
      <c r="L98" s="42"/>
      <c r="M98" s="67" t="str">
        <f>M70</f>
        <v>Fornecedores a Pagar</v>
      </c>
      <c r="N98" s="67"/>
      <c r="O98" s="68">
        <f>IF(O70&gt;N70,O70-N70,0)</f>
        <v>624244.3333333333</v>
      </c>
      <c r="P98" s="68">
        <f>IF(P70&gt;O70,P70-O70,0)</f>
        <v>0</v>
      </c>
      <c r="Q98" s="68">
        <f>IF(Q70&gt;P70,Q70-P70,0)</f>
        <v>139648.41220735788</v>
      </c>
      <c r="R98" s="165">
        <f>IF(R70&gt;Q70,R70-Q70,0)</f>
        <v>26588.833946488216</v>
      </c>
      <c r="S98" s="467"/>
    </row>
    <row r="99" spans="2:19" ht="12.75">
      <c r="B99" s="466"/>
      <c r="C99" s="53" t="s">
        <v>298</v>
      </c>
      <c r="D99" s="89">
        <f>D79</f>
        <v>2792969.2</v>
      </c>
      <c r="E99" s="89">
        <f>E79</f>
        <v>1659318.0520000001</v>
      </c>
      <c r="F99" s="89">
        <f>F79</f>
        <v>2292316.4779200004</v>
      </c>
      <c r="G99" s="125">
        <f>G79</f>
        <v>2369454.0689904</v>
      </c>
      <c r="H99" s="20"/>
      <c r="I99" s="467"/>
      <c r="K99" s="466"/>
      <c r="L99" s="42"/>
      <c r="M99" s="67" t="str">
        <f>M71</f>
        <v>IPI a Pagar</v>
      </c>
      <c r="N99" s="67"/>
      <c r="O99" s="68">
        <f aca="true" t="shared" si="5" ref="O99:R101">IF(O71&gt;N71,O71-N71,0)</f>
        <v>0</v>
      </c>
      <c r="P99" s="68">
        <f t="shared" si="5"/>
        <v>57026.075457875464</v>
      </c>
      <c r="Q99" s="68">
        <f t="shared" si="5"/>
        <v>0</v>
      </c>
      <c r="R99" s="165">
        <f t="shared" si="5"/>
        <v>6542.769968428103</v>
      </c>
      <c r="S99" s="467"/>
    </row>
    <row r="100" spans="2:19" ht="12.75">
      <c r="B100" s="466"/>
      <c r="C100" s="48" t="s">
        <v>299</v>
      </c>
      <c r="D100" s="49">
        <f>D98+D99</f>
        <v>2802969.2</v>
      </c>
      <c r="E100" s="49">
        <f>E98+E99</f>
        <v>2113870.6887857583</v>
      </c>
      <c r="F100" s="49">
        <f>F98+F99</f>
        <v>2292316.4779200004</v>
      </c>
      <c r="G100" s="121">
        <f>G98+G99</f>
        <v>2369454.0689904</v>
      </c>
      <c r="H100" s="20"/>
      <c r="I100" s="467"/>
      <c r="J100" s="17"/>
      <c r="K100" s="466"/>
      <c r="L100" s="42"/>
      <c r="M100" s="67" t="str">
        <f>M72</f>
        <v>ICMS a Pagar</v>
      </c>
      <c r="N100" s="67"/>
      <c r="O100" s="68">
        <f t="shared" si="5"/>
        <v>0</v>
      </c>
      <c r="P100" s="68">
        <f t="shared" si="5"/>
        <v>102646.93582417582</v>
      </c>
      <c r="Q100" s="68">
        <f t="shared" si="5"/>
        <v>0</v>
      </c>
      <c r="R100" s="165">
        <f t="shared" si="5"/>
        <v>11776.985943170577</v>
      </c>
      <c r="S100" s="467"/>
    </row>
    <row r="101" spans="2:20" ht="12.75">
      <c r="B101" s="466"/>
      <c r="C101" s="53" t="s">
        <v>300</v>
      </c>
      <c r="D101" s="89">
        <f>D100/D95</f>
        <v>57.48737027769802</v>
      </c>
      <c r="E101" s="89">
        <f>E100/E95</f>
        <v>58.76270227075191</v>
      </c>
      <c r="F101" s="89">
        <f>F100/F95</f>
        <v>57.94824000000001</v>
      </c>
      <c r="G101" s="125">
        <f>G100/G95</f>
        <v>58.1004872</v>
      </c>
      <c r="H101" s="468"/>
      <c r="I101" s="467"/>
      <c r="K101" s="466"/>
      <c r="L101" s="42"/>
      <c r="M101" s="67" t="str">
        <f>M73</f>
        <v>Emprestimos a Pagar</v>
      </c>
      <c r="N101" s="67"/>
      <c r="O101" s="68">
        <f t="shared" si="5"/>
        <v>1903361.0536242425</v>
      </c>
      <c r="P101" s="68">
        <f t="shared" si="5"/>
        <v>0</v>
      </c>
      <c r="Q101" s="68">
        <f t="shared" si="5"/>
        <v>9665.289468379691</v>
      </c>
      <c r="R101" s="165">
        <f t="shared" si="5"/>
        <v>0</v>
      </c>
      <c r="S101" s="467"/>
      <c r="T101" s="17"/>
    </row>
    <row r="102" spans="2:19" ht="12.75">
      <c r="B102" s="466"/>
      <c r="C102" s="48" t="s">
        <v>301</v>
      </c>
      <c r="D102" s="49">
        <f>D101*D96</f>
        <v>2348416.563214242</v>
      </c>
      <c r="E102" s="49">
        <f>E101*E96</f>
        <v>2113870.6887857583</v>
      </c>
      <c r="F102" s="49">
        <f>F101*F96</f>
        <v>2292316.4779200004</v>
      </c>
      <c r="G102" s="121">
        <f>G101*G96</f>
        <v>2369454.0689904</v>
      </c>
      <c r="H102" s="20"/>
      <c r="I102" s="467"/>
      <c r="K102" s="466"/>
      <c r="L102" s="42"/>
      <c r="M102" s="67" t="str">
        <f>M75</f>
        <v>Capital Social</v>
      </c>
      <c r="N102" s="67"/>
      <c r="O102" s="68">
        <f>IF(O75&gt;N75,O75-N75,0)</f>
        <v>0</v>
      </c>
      <c r="P102" s="68">
        <f>IF(P75&gt;O75,P75-O75,0)</f>
        <v>0</v>
      </c>
      <c r="Q102" s="68">
        <f>IF(Q75&gt;P75,Q75-P75,0)</f>
        <v>0</v>
      </c>
      <c r="R102" s="165">
        <f>IF(R75&gt;Q75,R75-Q75,0)</f>
        <v>0</v>
      </c>
      <c r="S102" s="467"/>
    </row>
    <row r="103" spans="2:19" ht="13.5" thickBot="1">
      <c r="B103" s="466"/>
      <c r="C103" s="50" t="s">
        <v>302</v>
      </c>
      <c r="D103" s="51">
        <f>D101*D97</f>
        <v>454552.63678575825</v>
      </c>
      <c r="E103" s="51">
        <f>E101*E97</f>
        <v>0</v>
      </c>
      <c r="F103" s="51">
        <f>F101*F97</f>
        <v>0</v>
      </c>
      <c r="G103" s="123">
        <f>G101*G97</f>
        <v>0</v>
      </c>
      <c r="H103" s="20"/>
      <c r="I103" s="467"/>
      <c r="K103" s="466"/>
      <c r="L103" s="48" t="s">
        <v>610</v>
      </c>
      <c r="M103" s="67"/>
      <c r="N103" s="67"/>
      <c r="O103" s="49">
        <f>SUM(O86:O102)</f>
        <v>2569051.8887286126</v>
      </c>
      <c r="P103" s="49">
        <f>SUM(P86:P102)</f>
        <v>695106.8630645033</v>
      </c>
      <c r="Q103" s="49">
        <f>SUM(Q86:Q102)</f>
        <v>264703.7930611063</v>
      </c>
      <c r="R103" s="121">
        <f>SUM(R86:R102)</f>
        <v>339504.601728232</v>
      </c>
      <c r="S103" s="467"/>
    </row>
    <row r="104" spans="2:19" ht="13.5" thickBot="1">
      <c r="B104" s="470"/>
      <c r="C104" s="471"/>
      <c r="D104" s="471"/>
      <c r="E104" s="471"/>
      <c r="F104" s="471"/>
      <c r="G104" s="471"/>
      <c r="H104" s="471"/>
      <c r="I104" s="472"/>
      <c r="K104" s="466"/>
      <c r="L104" s="42"/>
      <c r="M104" s="67"/>
      <c r="N104" s="67"/>
      <c r="O104" s="67"/>
      <c r="P104" s="67"/>
      <c r="Q104" s="67"/>
      <c r="R104" s="77"/>
      <c r="S104" s="467"/>
    </row>
    <row r="105" spans="11:19" ht="13.5" thickBot="1">
      <c r="K105" s="466"/>
      <c r="L105" s="48" t="s">
        <v>611</v>
      </c>
      <c r="M105" s="67"/>
      <c r="N105" s="67"/>
      <c r="O105" s="67"/>
      <c r="P105" s="67"/>
      <c r="Q105" s="67"/>
      <c r="R105" s="77"/>
      <c r="S105" s="467"/>
    </row>
    <row r="106" spans="2:19" ht="12.75">
      <c r="B106" s="463" t="s">
        <v>463</v>
      </c>
      <c r="C106" s="464"/>
      <c r="D106" s="464"/>
      <c r="E106" s="464"/>
      <c r="F106" s="464"/>
      <c r="G106" s="464"/>
      <c r="H106" s="464"/>
      <c r="I106" s="465"/>
      <c r="K106" s="466"/>
      <c r="L106" s="42" t="s">
        <v>612</v>
      </c>
      <c r="M106" s="67"/>
      <c r="N106" s="67"/>
      <c r="O106" s="67"/>
      <c r="P106" s="67"/>
      <c r="Q106" s="67"/>
      <c r="R106" s="77"/>
      <c r="S106" s="467"/>
    </row>
    <row r="107" spans="2:19" ht="13.5" thickBot="1">
      <c r="B107" s="466"/>
      <c r="C107" s="20"/>
      <c r="D107" s="20"/>
      <c r="E107" s="20"/>
      <c r="F107" s="20"/>
      <c r="G107" s="20"/>
      <c r="H107" s="20"/>
      <c r="I107" s="467"/>
      <c r="K107" s="466"/>
      <c r="L107" s="42"/>
      <c r="M107" s="67" t="str">
        <f aca="true" t="shared" si="6" ref="M107:M112">M58</f>
        <v>Aplicações de Recursos</v>
      </c>
      <c r="N107" s="67"/>
      <c r="O107" s="68">
        <f aca="true" t="shared" si="7" ref="O107:R112">IF(O58&gt;N58,O58-N58,0)</f>
        <v>0</v>
      </c>
      <c r="P107" s="68">
        <f t="shared" si="7"/>
        <v>167395.15853334637</v>
      </c>
      <c r="Q107" s="68">
        <f t="shared" si="7"/>
        <v>0</v>
      </c>
      <c r="R107" s="165">
        <f t="shared" si="7"/>
        <v>116440.96376836533</v>
      </c>
      <c r="S107" s="467"/>
    </row>
    <row r="108" spans="2:19" ht="12.75">
      <c r="B108" s="466"/>
      <c r="C108" s="46" t="s">
        <v>317</v>
      </c>
      <c r="D108" s="81" t="str">
        <f>$D$16</f>
        <v>Trim 1</v>
      </c>
      <c r="E108" s="81" t="str">
        <f>$E$16</f>
        <v>Trim 2</v>
      </c>
      <c r="F108" s="81" t="str">
        <f>$F$16</f>
        <v>Trim 3</v>
      </c>
      <c r="G108" s="82" t="str">
        <f>$G$16</f>
        <v>Trim 4</v>
      </c>
      <c r="H108" s="20"/>
      <c r="I108" s="467"/>
      <c r="K108" s="466"/>
      <c r="L108" s="42"/>
      <c r="M108" s="67" t="str">
        <f t="shared" si="6"/>
        <v>Contas a Receber</v>
      </c>
      <c r="N108" s="67"/>
      <c r="O108" s="68">
        <f t="shared" si="7"/>
        <v>1512050</v>
      </c>
      <c r="P108" s="68">
        <f t="shared" si="7"/>
        <v>168324.17582417582</v>
      </c>
      <c r="Q108" s="68">
        <f t="shared" si="7"/>
        <v>156298.37852364988</v>
      </c>
      <c r="R108" s="165">
        <f t="shared" si="7"/>
        <v>223063.63795986655</v>
      </c>
      <c r="S108" s="467"/>
    </row>
    <row r="109" spans="2:19" ht="12.75">
      <c r="B109" s="466"/>
      <c r="C109" s="53" t="s">
        <v>318</v>
      </c>
      <c r="D109" s="366">
        <f>Dados!B11</f>
        <v>0.08</v>
      </c>
      <c r="E109" s="263">
        <f aca="true" t="shared" si="8" ref="E109:G110">D109</f>
        <v>0.08</v>
      </c>
      <c r="F109" s="263">
        <f t="shared" si="8"/>
        <v>0.08</v>
      </c>
      <c r="G109" s="264">
        <f t="shared" si="8"/>
        <v>0.08</v>
      </c>
      <c r="H109" s="20"/>
      <c r="I109" s="467"/>
      <c r="K109" s="466"/>
      <c r="L109" s="42"/>
      <c r="M109" s="67" t="str">
        <f t="shared" si="6"/>
        <v>Estoques de Matéria-Prima</v>
      </c>
      <c r="N109" s="67"/>
      <c r="O109" s="68">
        <f t="shared" si="7"/>
        <v>444552.63678575825</v>
      </c>
      <c r="P109" s="68">
        <f t="shared" si="7"/>
        <v>0</v>
      </c>
      <c r="Q109" s="68">
        <f t="shared" si="7"/>
        <v>0</v>
      </c>
      <c r="R109" s="165">
        <f t="shared" si="7"/>
        <v>0</v>
      </c>
      <c r="S109" s="467"/>
    </row>
    <row r="110" spans="2:19" ht="12.75">
      <c r="B110" s="466"/>
      <c r="C110" s="53" t="s">
        <v>319</v>
      </c>
      <c r="D110" s="366">
        <f>Dados!B12</f>
        <v>0.15</v>
      </c>
      <c r="E110" s="263">
        <f t="shared" si="8"/>
        <v>0.15</v>
      </c>
      <c r="F110" s="263">
        <f t="shared" si="8"/>
        <v>0.15</v>
      </c>
      <c r="G110" s="264">
        <f t="shared" si="8"/>
        <v>0.15</v>
      </c>
      <c r="H110" s="20"/>
      <c r="I110" s="467"/>
      <c r="K110" s="466"/>
      <c r="L110" s="42"/>
      <c r="M110" s="67" t="str">
        <f t="shared" si="6"/>
        <v>Estoque de Produtos em Processo</v>
      </c>
      <c r="N110" s="67"/>
      <c r="O110" s="68">
        <f t="shared" si="7"/>
        <v>39206.97809445558</v>
      </c>
      <c r="P110" s="68">
        <f t="shared" si="7"/>
        <v>0</v>
      </c>
      <c r="Q110" s="68">
        <f t="shared" si="7"/>
        <v>0</v>
      </c>
      <c r="R110" s="165">
        <f t="shared" si="7"/>
        <v>0</v>
      </c>
      <c r="S110" s="467"/>
    </row>
    <row r="111" spans="2:19" ht="12.75">
      <c r="B111" s="466"/>
      <c r="C111" s="54"/>
      <c r="D111" s="372"/>
      <c r="E111" s="372"/>
      <c r="F111" s="372"/>
      <c r="G111" s="373"/>
      <c r="H111" s="20"/>
      <c r="I111" s="467"/>
      <c r="K111" s="466"/>
      <c r="L111" s="42"/>
      <c r="M111" s="67" t="str">
        <f t="shared" si="6"/>
        <v>Outros (Sobre ou Subabsorção do CIF)</v>
      </c>
      <c r="N111" s="67"/>
      <c r="O111" s="68">
        <f t="shared" si="7"/>
        <v>0</v>
      </c>
      <c r="P111" s="68">
        <f t="shared" si="7"/>
        <v>17729.19283734032</v>
      </c>
      <c r="Q111" s="68">
        <f t="shared" si="7"/>
        <v>0</v>
      </c>
      <c r="R111" s="165">
        <f t="shared" si="7"/>
        <v>0</v>
      </c>
      <c r="S111" s="467"/>
    </row>
    <row r="112" spans="2:30" s="17" customFormat="1" ht="13.5" thickBot="1">
      <c r="B112" s="476"/>
      <c r="C112" s="50" t="s">
        <v>320</v>
      </c>
      <c r="D112" s="367">
        <f>D109+D110</f>
        <v>0.22999999999999998</v>
      </c>
      <c r="E112" s="367">
        <f aca="true" t="shared" si="9" ref="E112:G113">D112</f>
        <v>0.22999999999999998</v>
      </c>
      <c r="F112" s="367">
        <f t="shared" si="9"/>
        <v>0.22999999999999998</v>
      </c>
      <c r="G112" s="368">
        <f t="shared" si="9"/>
        <v>0.22999999999999998</v>
      </c>
      <c r="H112" s="468"/>
      <c r="I112" s="477"/>
      <c r="J112"/>
      <c r="K112" s="466"/>
      <c r="L112" s="42"/>
      <c r="M112" s="67" t="str">
        <f t="shared" si="6"/>
        <v>Estoque de Produtos Acabados</v>
      </c>
      <c r="N112" s="67"/>
      <c r="O112" s="68">
        <f t="shared" si="7"/>
        <v>512010.007181732</v>
      </c>
      <c r="P112" s="68">
        <f t="shared" si="7"/>
        <v>53051.97945938492</v>
      </c>
      <c r="Q112" s="68">
        <f t="shared" si="7"/>
        <v>34562.24576555146</v>
      </c>
      <c r="R112" s="165">
        <f t="shared" si="7"/>
        <v>0</v>
      </c>
      <c r="S112" s="467"/>
      <c r="T112"/>
      <c r="U112"/>
      <c r="V112"/>
      <c r="W112"/>
      <c r="X112"/>
      <c r="Y112"/>
      <c r="Z112"/>
      <c r="AA112"/>
      <c r="AB112"/>
      <c r="AC112"/>
      <c r="AD112"/>
    </row>
    <row r="113" spans="2:19" ht="13.5" thickBot="1">
      <c r="B113" s="466"/>
      <c r="C113" s="48" t="s">
        <v>327</v>
      </c>
      <c r="D113" s="378">
        <v>0.17</v>
      </c>
      <c r="E113" s="371">
        <f t="shared" si="9"/>
        <v>0.17</v>
      </c>
      <c r="F113" s="371">
        <f t="shared" si="9"/>
        <v>0.17</v>
      </c>
      <c r="G113" s="371">
        <f t="shared" si="9"/>
        <v>0.17</v>
      </c>
      <c r="H113" s="20"/>
      <c r="I113" s="467"/>
      <c r="K113" s="466"/>
      <c r="L113" s="42"/>
      <c r="M113" s="67" t="s">
        <v>649</v>
      </c>
      <c r="N113" s="67"/>
      <c r="O113" s="68">
        <f>IF(O65&gt;N65,O65-N65,0)</f>
        <v>0</v>
      </c>
      <c r="P113" s="68">
        <f>IF(P65&gt;O65,P65-O65,0)</f>
        <v>31671</v>
      </c>
      <c r="Q113" s="68">
        <f>IF(Q65&gt;P65,Q65-P65,0)</f>
        <v>21536.280000000028</v>
      </c>
      <c r="R113" s="165">
        <f>IF(R65&gt;Q65,R65-Q65,0)</f>
        <v>0</v>
      </c>
      <c r="S113" s="467"/>
    </row>
    <row r="114" spans="2:19" ht="12.75">
      <c r="B114" s="466"/>
      <c r="C114" s="46" t="s">
        <v>321</v>
      </c>
      <c r="D114" s="374"/>
      <c r="E114" s="375"/>
      <c r="F114" s="375"/>
      <c r="G114" s="376"/>
      <c r="H114" s="20"/>
      <c r="I114" s="467"/>
      <c r="K114" s="466"/>
      <c r="L114" s="42" t="s">
        <v>613</v>
      </c>
      <c r="M114" s="67"/>
      <c r="N114" s="67"/>
      <c r="O114" s="67"/>
      <c r="P114" s="67"/>
      <c r="Q114" s="67"/>
      <c r="R114" s="77"/>
      <c r="S114" s="467"/>
    </row>
    <row r="115" spans="2:19" ht="12.75">
      <c r="B115" s="466"/>
      <c r="C115" s="53" t="s">
        <v>318</v>
      </c>
      <c r="D115" s="366">
        <f>Dados!B16</f>
        <v>0.22</v>
      </c>
      <c r="E115" s="369">
        <f aca="true" t="shared" si="10" ref="E115:G121">D115</f>
        <v>0.22</v>
      </c>
      <c r="F115" s="369">
        <f t="shared" si="10"/>
        <v>0.22</v>
      </c>
      <c r="G115" s="370">
        <f t="shared" si="10"/>
        <v>0.22</v>
      </c>
      <c r="H115" s="20"/>
      <c r="I115" s="467"/>
      <c r="K115" s="466"/>
      <c r="L115" s="42"/>
      <c r="M115" s="67" t="str">
        <f>M70</f>
        <v>Fornecedores a Pagar</v>
      </c>
      <c r="N115" s="67"/>
      <c r="O115" s="68">
        <f>IF(O70&lt;N70,N70-O70,0)</f>
        <v>0</v>
      </c>
      <c r="P115" s="68">
        <f>IF(P70&lt;O70,O70-P70,0)</f>
        <v>257535.3564102563</v>
      </c>
      <c r="Q115" s="68">
        <f>IF(Q70&lt;P70,P70-Q70,0)</f>
        <v>0</v>
      </c>
      <c r="R115" s="165">
        <f>IF(R70&lt;Q70,Q70-R70,0)</f>
        <v>0</v>
      </c>
      <c r="S115" s="467"/>
    </row>
    <row r="116" spans="2:19" ht="12.75">
      <c r="B116" s="466"/>
      <c r="C116" s="53" t="s">
        <v>322</v>
      </c>
      <c r="D116" s="366">
        <f>Dados!B17</f>
        <v>0.08</v>
      </c>
      <c r="E116" s="369">
        <f t="shared" si="10"/>
        <v>0.08</v>
      </c>
      <c r="F116" s="369">
        <f t="shared" si="10"/>
        <v>0.08</v>
      </c>
      <c r="G116" s="370">
        <f t="shared" si="10"/>
        <v>0.08</v>
      </c>
      <c r="H116" s="20"/>
      <c r="I116" s="467"/>
      <c r="K116" s="466"/>
      <c r="L116" s="42"/>
      <c r="M116" s="67" t="str">
        <f>M71</f>
        <v>IPI a Pagar</v>
      </c>
      <c r="N116" s="67"/>
      <c r="O116" s="68">
        <f aca="true" t="shared" si="11" ref="O116:R118">IF(O71&lt;N71,N71-O71,0)</f>
        <v>21868.666666666664</v>
      </c>
      <c r="P116" s="68">
        <f t="shared" si="11"/>
        <v>0</v>
      </c>
      <c r="Q116" s="68">
        <f t="shared" si="11"/>
        <v>18681.03170425226</v>
      </c>
      <c r="R116" s="165">
        <f t="shared" si="11"/>
        <v>0</v>
      </c>
      <c r="S116" s="467"/>
    </row>
    <row r="117" spans="2:19" ht="12.75">
      <c r="B117" s="466"/>
      <c r="C117" s="53" t="s">
        <v>339</v>
      </c>
      <c r="D117" s="366">
        <f>Dados!B18</f>
        <v>0.01</v>
      </c>
      <c r="E117" s="263">
        <v>0.01</v>
      </c>
      <c r="F117" s="263">
        <v>0.01</v>
      </c>
      <c r="G117" s="264">
        <v>0.01</v>
      </c>
      <c r="H117" s="20"/>
      <c r="I117" s="467"/>
      <c r="K117" s="466"/>
      <c r="L117" s="42"/>
      <c r="M117" s="67" t="str">
        <f>M72</f>
        <v>ICMS a Pagar</v>
      </c>
      <c r="N117" s="67"/>
      <c r="O117" s="68">
        <f t="shared" si="11"/>
        <v>39363.59999999998</v>
      </c>
      <c r="P117" s="68">
        <f t="shared" si="11"/>
        <v>0</v>
      </c>
      <c r="Q117" s="68">
        <f t="shared" si="11"/>
        <v>33625.85706765409</v>
      </c>
      <c r="R117" s="165">
        <f t="shared" si="11"/>
        <v>0</v>
      </c>
      <c r="S117" s="467"/>
    </row>
    <row r="118" spans="2:19" ht="12.75">
      <c r="B118" s="466"/>
      <c r="C118" s="53" t="s">
        <v>323</v>
      </c>
      <c r="D118" s="366">
        <f>Dados!B19</f>
        <v>0.12090909090909091</v>
      </c>
      <c r="E118" s="369">
        <f t="shared" si="10"/>
        <v>0.12090909090909091</v>
      </c>
      <c r="F118" s="369">
        <f t="shared" si="10"/>
        <v>0.12090909090909091</v>
      </c>
      <c r="G118" s="370">
        <f t="shared" si="10"/>
        <v>0.12090909090909091</v>
      </c>
      <c r="H118" s="20"/>
      <c r="I118" s="467"/>
      <c r="J118" s="17"/>
      <c r="K118" s="476"/>
      <c r="L118" s="42"/>
      <c r="M118" s="67" t="str">
        <f>M73</f>
        <v>Emprestimos a Pagar</v>
      </c>
      <c r="N118" s="67"/>
      <c r="O118" s="68">
        <f t="shared" si="11"/>
        <v>0</v>
      </c>
      <c r="P118" s="68">
        <f t="shared" si="11"/>
        <v>0</v>
      </c>
      <c r="Q118" s="68">
        <f t="shared" si="11"/>
        <v>0</v>
      </c>
      <c r="R118" s="165">
        <f t="shared" si="11"/>
        <v>0</v>
      </c>
      <c r="S118" s="477"/>
    </row>
    <row r="119" spans="2:20" ht="12.75">
      <c r="B119" s="466"/>
      <c r="C119" s="53" t="s">
        <v>324</v>
      </c>
      <c r="D119" s="366">
        <f>Dados!B20</f>
        <v>0.09</v>
      </c>
      <c r="E119" s="369">
        <f t="shared" si="10"/>
        <v>0.09</v>
      </c>
      <c r="F119" s="369">
        <f t="shared" si="10"/>
        <v>0.09</v>
      </c>
      <c r="G119" s="370">
        <f t="shared" si="10"/>
        <v>0.09</v>
      </c>
      <c r="H119" s="20"/>
      <c r="I119" s="467"/>
      <c r="K119" s="466"/>
      <c r="L119" s="48"/>
      <c r="M119" s="67" t="str">
        <f>M75</f>
        <v>Capital Social</v>
      </c>
      <c r="N119" s="56"/>
      <c r="O119" s="68">
        <f>IF(O75&lt;N75,N75-O75,0)</f>
        <v>0</v>
      </c>
      <c r="P119" s="68">
        <f>IF(P75&lt;O75,O75-P75,0)</f>
        <v>0</v>
      </c>
      <c r="Q119" s="68">
        <f>IF(Q75&lt;P75,P75-Q75,0)</f>
        <v>0</v>
      </c>
      <c r="R119" s="165">
        <f>IF(R75&lt;Q75,Q75-R75,0)</f>
        <v>0</v>
      </c>
      <c r="S119" s="467"/>
      <c r="T119" s="17"/>
    </row>
    <row r="120" spans="2:19" ht="12.75">
      <c r="B120" s="466"/>
      <c r="C120" s="53" t="s">
        <v>340</v>
      </c>
      <c r="D120" s="263">
        <f>0.4*D116</f>
        <v>0.032</v>
      </c>
      <c r="E120" s="263">
        <f>0.4*E116</f>
        <v>0.032</v>
      </c>
      <c r="F120" s="263">
        <f>0.4*F116</f>
        <v>0.032</v>
      </c>
      <c r="G120" s="264">
        <f>0.4*G116</f>
        <v>0.032</v>
      </c>
      <c r="H120" s="20"/>
      <c r="I120" s="467"/>
      <c r="K120" s="466"/>
      <c r="L120" s="48" t="s">
        <v>614</v>
      </c>
      <c r="M120" s="56"/>
      <c r="N120" s="56"/>
      <c r="O120" s="49">
        <f>SUM(O107:O119)</f>
        <v>2569051.888728612</v>
      </c>
      <c r="P120" s="49">
        <f>SUM(P107:P119)</f>
        <v>695706.8630645038</v>
      </c>
      <c r="Q120" s="49">
        <f>SUM(Q107:Q119)</f>
        <v>264703.79306110775</v>
      </c>
      <c r="R120" s="121">
        <f>SUM(R107:R119)</f>
        <v>339504.6017282319</v>
      </c>
      <c r="S120" s="467"/>
    </row>
    <row r="121" spans="2:19" ht="12.75">
      <c r="B121" s="466"/>
      <c r="C121" s="53" t="s">
        <v>325</v>
      </c>
      <c r="D121" s="366">
        <f>Dados!B22</f>
        <v>0.01</v>
      </c>
      <c r="E121" s="369">
        <f t="shared" si="10"/>
        <v>0.01</v>
      </c>
      <c r="F121" s="369">
        <f t="shared" si="10"/>
        <v>0.01</v>
      </c>
      <c r="G121" s="370">
        <f t="shared" si="10"/>
        <v>0.01</v>
      </c>
      <c r="H121" s="20"/>
      <c r="I121" s="467"/>
      <c r="K121" s="466"/>
      <c r="L121" s="48" t="s">
        <v>615</v>
      </c>
      <c r="M121" s="56"/>
      <c r="N121" s="56"/>
      <c r="O121" s="49">
        <f>O103-O120</f>
        <v>0</v>
      </c>
      <c r="P121" s="49">
        <f>P103-P120</f>
        <v>-600.0000000004657</v>
      </c>
      <c r="Q121" s="49">
        <f>Q103-Q120</f>
        <v>-1.4551915228366852E-09</v>
      </c>
      <c r="R121" s="121">
        <f>R103-R120</f>
        <v>0</v>
      </c>
      <c r="S121" s="467"/>
    </row>
    <row r="122" spans="2:19" ht="13.5" thickBot="1">
      <c r="B122" s="466"/>
      <c r="C122" s="50" t="s">
        <v>326</v>
      </c>
      <c r="D122" s="367">
        <f>SUM(D114:D121)</f>
        <v>0.5629090909090909</v>
      </c>
      <c r="E122" s="367">
        <f>SUM(E114:E121)</f>
        <v>0.5629090909090909</v>
      </c>
      <c r="F122" s="367">
        <f>SUM(F114:F121)</f>
        <v>0.5629090909090909</v>
      </c>
      <c r="G122" s="368">
        <f>SUM(G114:G121)</f>
        <v>0.5629090909090909</v>
      </c>
      <c r="H122" s="20"/>
      <c r="I122" s="467"/>
      <c r="K122" s="466"/>
      <c r="L122" s="42" t="s">
        <v>616</v>
      </c>
      <c r="M122" s="67"/>
      <c r="N122" s="67"/>
      <c r="O122" s="494">
        <f>N57</f>
        <v>600</v>
      </c>
      <c r="P122" s="494">
        <f>O57</f>
        <v>600</v>
      </c>
      <c r="Q122" s="494">
        <f>P57</f>
        <v>0</v>
      </c>
      <c r="R122" s="496">
        <f>Q57</f>
        <v>0</v>
      </c>
      <c r="S122" s="467"/>
    </row>
    <row r="123" spans="2:32" s="105" customFormat="1" ht="13.5" thickBot="1">
      <c r="B123" s="478"/>
      <c r="C123" s="19"/>
      <c r="D123" s="109"/>
      <c r="E123" s="109"/>
      <c r="F123" s="109"/>
      <c r="G123" s="109"/>
      <c r="H123" s="101"/>
      <c r="I123" s="479"/>
      <c r="J123"/>
      <c r="K123" s="466"/>
      <c r="L123" s="64" t="s">
        <v>617</v>
      </c>
      <c r="M123" s="72"/>
      <c r="N123" s="72"/>
      <c r="O123" s="498">
        <f>O122+O121</f>
        <v>600</v>
      </c>
      <c r="P123" s="498">
        <f>P122+P121</f>
        <v>-4.656612873077393E-10</v>
      </c>
      <c r="Q123" s="498">
        <f>Q122+Q121</f>
        <v>-1.4551915228366852E-09</v>
      </c>
      <c r="R123" s="499">
        <f>R122+R121</f>
        <v>0</v>
      </c>
      <c r="S123" s="467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2:22" ht="13.5" thickBot="1">
      <c r="B124" s="466"/>
      <c r="C124" s="46" t="s">
        <v>309</v>
      </c>
      <c r="D124" s="81" t="str">
        <f>$D$16</f>
        <v>Trim 1</v>
      </c>
      <c r="E124" s="81" t="str">
        <f>$E$16</f>
        <v>Trim 2</v>
      </c>
      <c r="F124" s="81" t="str">
        <f>$F$16</f>
        <v>Trim 3</v>
      </c>
      <c r="G124" s="82" t="str">
        <f>$G$16</f>
        <v>Trim 4</v>
      </c>
      <c r="H124" s="20"/>
      <c r="I124" s="467"/>
      <c r="K124" s="470"/>
      <c r="L124" s="471"/>
      <c r="M124" s="471"/>
      <c r="N124" s="471"/>
      <c r="O124" s="471"/>
      <c r="P124" s="471"/>
      <c r="Q124" s="471"/>
      <c r="R124" s="471"/>
      <c r="S124" s="472"/>
      <c r="V124" s="105"/>
    </row>
    <row r="125" spans="2:18" ht="12.75">
      <c r="B125" s="466"/>
      <c r="C125" s="53" t="s">
        <v>316</v>
      </c>
      <c r="D125" s="364">
        <f>Dados!B25</f>
        <v>1</v>
      </c>
      <c r="E125" s="364">
        <f>Dados!C25</f>
        <v>1.02</v>
      </c>
      <c r="F125" s="364">
        <f>Dados!D25</f>
        <v>1.02</v>
      </c>
      <c r="G125" s="365">
        <f>Dados!E25</f>
        <v>1.02</v>
      </c>
      <c r="H125" s="20"/>
      <c r="I125" s="467"/>
      <c r="L125" s="20"/>
      <c r="M125" s="20"/>
      <c r="N125" s="20"/>
      <c r="O125" s="20"/>
      <c r="P125" s="20"/>
      <c r="Q125" s="20"/>
      <c r="R125" s="20"/>
    </row>
    <row r="126" spans="2:23" ht="13.5" thickBot="1">
      <c r="B126" s="466"/>
      <c r="C126" s="53" t="s">
        <v>310</v>
      </c>
      <c r="D126" s="364">
        <f>Dados!B26</f>
        <v>5</v>
      </c>
      <c r="E126" s="89">
        <f>D126*E125</f>
        <v>5.1</v>
      </c>
      <c r="F126" s="89">
        <f>F125*D126</f>
        <v>5.1</v>
      </c>
      <c r="G126" s="125">
        <f>G125*D126</f>
        <v>5.1</v>
      </c>
      <c r="H126" s="20"/>
      <c r="I126" s="467"/>
      <c r="L126" s="20"/>
      <c r="M126" s="20"/>
      <c r="N126" s="20"/>
      <c r="O126" s="20"/>
      <c r="P126" s="20"/>
      <c r="Q126" s="20"/>
      <c r="R126" s="20"/>
      <c r="W126" s="17"/>
    </row>
    <row r="127" spans="2:19" ht="12.75">
      <c r="B127" s="466"/>
      <c r="C127" s="53" t="s">
        <v>312</v>
      </c>
      <c r="D127" s="364">
        <f>Dados!B54</f>
        <v>0.5</v>
      </c>
      <c r="E127" s="89">
        <f>D127</f>
        <v>0.5</v>
      </c>
      <c r="F127" s="89">
        <f>E127</f>
        <v>0.5</v>
      </c>
      <c r="G127" s="125">
        <f>F127</f>
        <v>0.5</v>
      </c>
      <c r="H127" s="20"/>
      <c r="I127" s="467"/>
      <c r="K127" s="463" t="s">
        <v>637</v>
      </c>
      <c r="L127" s="464"/>
      <c r="M127" s="464"/>
      <c r="N127" s="464"/>
      <c r="O127" s="464"/>
      <c r="P127" s="464"/>
      <c r="Q127" s="464"/>
      <c r="R127" s="464"/>
      <c r="S127" s="465"/>
    </row>
    <row r="128" spans="2:19" ht="13.5" thickBot="1">
      <c r="B128" s="466"/>
      <c r="C128" s="53" t="s">
        <v>313</v>
      </c>
      <c r="D128" s="69">
        <f>D127*D52</f>
        <v>6808.5</v>
      </c>
      <c r="E128" s="69">
        <f>E127*E52</f>
        <v>5995.5</v>
      </c>
      <c r="F128" s="69">
        <f>F127*F52</f>
        <v>6593</v>
      </c>
      <c r="G128" s="122">
        <f>G127*G52</f>
        <v>6797</v>
      </c>
      <c r="H128" s="20"/>
      <c r="I128" s="467"/>
      <c r="K128" s="466"/>
      <c r="L128" s="20"/>
      <c r="M128" s="20"/>
      <c r="N128" s="20"/>
      <c r="O128" s="20"/>
      <c r="P128" s="20"/>
      <c r="Q128" s="20"/>
      <c r="R128" s="20"/>
      <c r="S128" s="467"/>
    </row>
    <row r="129" spans="2:19" ht="13.5" thickBot="1">
      <c r="B129" s="466"/>
      <c r="C129" s="50" t="s">
        <v>314</v>
      </c>
      <c r="D129" s="51">
        <f>D128*D126</f>
        <v>34042.5</v>
      </c>
      <c r="E129" s="51">
        <f>E128*E126</f>
        <v>30577.05</v>
      </c>
      <c r="F129" s="51">
        <f>F128*F126</f>
        <v>33624.299999999996</v>
      </c>
      <c r="G129" s="123">
        <f>G128*G126</f>
        <v>34664.7</v>
      </c>
      <c r="H129" s="20"/>
      <c r="I129" s="467"/>
      <c r="K129" s="466"/>
      <c r="L129" s="231" t="s">
        <v>54</v>
      </c>
      <c r="M129" s="39"/>
      <c r="N129" s="522"/>
      <c r="O129" s="522"/>
      <c r="P129" s="522"/>
      <c r="Q129" s="40" t="s">
        <v>633</v>
      </c>
      <c r="R129" s="84" t="s">
        <v>634</v>
      </c>
      <c r="S129" s="467"/>
    </row>
    <row r="130" spans="2:19" ht="12.75">
      <c r="B130" s="466"/>
      <c r="C130" s="53" t="s">
        <v>315</v>
      </c>
      <c r="D130" s="89">
        <f>D113*D129</f>
        <v>5787.225</v>
      </c>
      <c r="E130" s="89">
        <f>E113*E129</f>
        <v>5198.0985</v>
      </c>
      <c r="F130" s="89">
        <f>F113*F129</f>
        <v>5716.130999999999</v>
      </c>
      <c r="G130" s="125">
        <f>G113*G129</f>
        <v>5892.999</v>
      </c>
      <c r="H130" s="20"/>
      <c r="I130" s="467"/>
      <c r="J130" s="105"/>
      <c r="K130" s="466"/>
      <c r="L130" s="227" t="s">
        <v>585</v>
      </c>
      <c r="M130" s="41"/>
      <c r="N130" s="515"/>
      <c r="O130" s="515"/>
      <c r="P130" s="515"/>
      <c r="Q130" s="169">
        <f aca="true" t="shared" si="12" ref="Q130:Q143">SUM(O37:R37)</f>
        <v>14346049.3</v>
      </c>
      <c r="R130" s="586">
        <v>1</v>
      </c>
      <c r="S130" s="467"/>
    </row>
    <row r="131" spans="2:19" ht="12.75">
      <c r="B131" s="466"/>
      <c r="C131" s="53" t="s">
        <v>328</v>
      </c>
      <c r="D131" s="136">
        <f>D129+D130</f>
        <v>39829.725</v>
      </c>
      <c r="E131" s="136">
        <f>E129+E130</f>
        <v>35775.148499999996</v>
      </c>
      <c r="F131" s="136">
        <f>F129+F130</f>
        <v>39340.431</v>
      </c>
      <c r="G131" s="137">
        <f>G129+G130</f>
        <v>40557.69899999999</v>
      </c>
      <c r="H131" s="20"/>
      <c r="I131" s="467"/>
      <c r="K131" s="466"/>
      <c r="L131" s="227"/>
      <c r="M131" s="41" t="s">
        <v>586</v>
      </c>
      <c r="N131" s="515"/>
      <c r="O131" s="515"/>
      <c r="P131" s="515"/>
      <c r="Q131" s="169">
        <f t="shared" si="12"/>
        <v>-1304186.3</v>
      </c>
      <c r="R131" s="586">
        <f>Q131/Q$130</f>
        <v>-0.09090909090909091</v>
      </c>
      <c r="S131" s="467"/>
    </row>
    <row r="132" spans="2:19" ht="12.75">
      <c r="B132" s="466"/>
      <c r="C132" s="53" t="s">
        <v>329</v>
      </c>
      <c r="D132" s="136">
        <f>D131*D122</f>
        <v>22420.51429090909</v>
      </c>
      <c r="E132" s="136">
        <f>E131*E122</f>
        <v>20138.156319272726</v>
      </c>
      <c r="F132" s="136">
        <f>F131*F122</f>
        <v>22145.086250181816</v>
      </c>
      <c r="G132" s="137">
        <f>G131*G122</f>
        <v>22830.297473454542</v>
      </c>
      <c r="H132" s="20"/>
      <c r="I132" s="467"/>
      <c r="K132" s="466"/>
      <c r="L132" s="227"/>
      <c r="M132" s="41" t="s">
        <v>110</v>
      </c>
      <c r="N132" s="515"/>
      <c r="O132" s="515"/>
      <c r="P132" s="515"/>
      <c r="Q132" s="169">
        <f t="shared" si="12"/>
        <v>-2347535.34</v>
      </c>
      <c r="R132" s="586">
        <f aca="true" t="shared" si="13" ref="R132:R143">Q132/Q$130</f>
        <v>-0.1636363636363636</v>
      </c>
      <c r="S132" s="467"/>
    </row>
    <row r="133" spans="2:19" ht="13.5" thickBot="1">
      <c r="B133" s="466"/>
      <c r="C133" s="50" t="s">
        <v>330</v>
      </c>
      <c r="D133" s="51">
        <f>D131+D132</f>
        <v>62250.239290909085</v>
      </c>
      <c r="E133" s="51">
        <f>E131+E132</f>
        <v>55913.30481927272</v>
      </c>
      <c r="F133" s="51">
        <f>F131+F132</f>
        <v>61485.517250181816</v>
      </c>
      <c r="G133" s="123">
        <f>G131+G132</f>
        <v>63387.996473454536</v>
      </c>
      <c r="H133" s="20"/>
      <c r="I133" s="467"/>
      <c r="K133" s="466"/>
      <c r="L133" s="227" t="s">
        <v>131</v>
      </c>
      <c r="M133" s="41"/>
      <c r="N133" s="515"/>
      <c r="O133" s="515"/>
      <c r="P133" s="515"/>
      <c r="Q133" s="169">
        <f t="shared" si="12"/>
        <v>10694327.66</v>
      </c>
      <c r="R133" s="586">
        <f t="shared" si="13"/>
        <v>0.7454545454545455</v>
      </c>
      <c r="S133" s="467"/>
    </row>
    <row r="134" spans="2:19" ht="13.5" thickBot="1">
      <c r="B134" s="466"/>
      <c r="C134" s="20"/>
      <c r="D134" s="20"/>
      <c r="E134" s="20"/>
      <c r="F134" s="20"/>
      <c r="G134" s="20"/>
      <c r="H134" s="20"/>
      <c r="I134" s="467"/>
      <c r="K134" s="466"/>
      <c r="L134" s="228"/>
      <c r="M134" s="42" t="s">
        <v>587</v>
      </c>
      <c r="N134" s="516"/>
      <c r="O134" s="516"/>
      <c r="P134" s="516"/>
      <c r="Q134" s="169">
        <f t="shared" si="12"/>
        <v>-9977761.603402961</v>
      </c>
      <c r="R134" s="586">
        <f t="shared" si="13"/>
        <v>-0.6955058772454491</v>
      </c>
      <c r="S134" s="467"/>
    </row>
    <row r="135" spans="2:19" ht="12.75">
      <c r="B135" s="466"/>
      <c r="C135" s="46" t="s">
        <v>331</v>
      </c>
      <c r="D135" s="81" t="str">
        <f>$D$16</f>
        <v>Trim 1</v>
      </c>
      <c r="E135" s="81" t="str">
        <f>$E$16</f>
        <v>Trim 2</v>
      </c>
      <c r="F135" s="81" t="str">
        <f>$F$16</f>
        <v>Trim 3</v>
      </c>
      <c r="G135" s="82" t="str">
        <f>$G$16</f>
        <v>Trim 4</v>
      </c>
      <c r="H135" s="20"/>
      <c r="I135" s="467"/>
      <c r="K135" s="466"/>
      <c r="L135" s="228" t="s">
        <v>57</v>
      </c>
      <c r="M135" s="42"/>
      <c r="N135" s="516"/>
      <c r="O135" s="516"/>
      <c r="P135" s="516"/>
      <c r="Q135" s="169">
        <f t="shared" si="12"/>
        <v>716566.0565970377</v>
      </c>
      <c r="R135" s="586">
        <f t="shared" si="13"/>
        <v>0.04994866820909626</v>
      </c>
      <c r="S135" s="467"/>
    </row>
    <row r="136" spans="2:19" ht="12.75">
      <c r="B136" s="466"/>
      <c r="C136" s="48" t="s">
        <v>337</v>
      </c>
      <c r="D136" s="49">
        <f>D131</f>
        <v>39829.725</v>
      </c>
      <c r="E136" s="49">
        <f>E131</f>
        <v>35775.148499999996</v>
      </c>
      <c r="F136" s="49">
        <f>F131</f>
        <v>39340.431</v>
      </c>
      <c r="G136" s="121">
        <f>G131</f>
        <v>40557.69899999999</v>
      </c>
      <c r="H136" s="20"/>
      <c r="I136" s="467"/>
      <c r="K136" s="466"/>
      <c r="L136" s="228"/>
      <c r="M136" s="42" t="s">
        <v>588</v>
      </c>
      <c r="N136" s="516"/>
      <c r="O136" s="516"/>
      <c r="P136" s="516"/>
      <c r="Q136" s="169">
        <f t="shared" si="12"/>
        <v>-116026.20155999999</v>
      </c>
      <c r="R136" s="586">
        <f t="shared" si="13"/>
        <v>-0.00808767620504413</v>
      </c>
      <c r="S136" s="467"/>
    </row>
    <row r="137" spans="2:19" ht="12.75">
      <c r="B137" s="466"/>
      <c r="C137" s="53" t="s">
        <v>332</v>
      </c>
      <c r="D137" s="89">
        <f>D136*D109</f>
        <v>3186.378</v>
      </c>
      <c r="E137" s="89">
        <f>E136*E109</f>
        <v>2862.0118799999996</v>
      </c>
      <c r="F137" s="89">
        <f>F136*F109</f>
        <v>3147.2344799999996</v>
      </c>
      <c r="G137" s="125">
        <f>G136*G109</f>
        <v>3244.6159199999997</v>
      </c>
      <c r="H137" s="20"/>
      <c r="I137" s="467"/>
      <c r="K137" s="466"/>
      <c r="L137" s="228"/>
      <c r="M137" s="42" t="s">
        <v>589</v>
      </c>
      <c r="N137" s="516"/>
      <c r="O137" s="516"/>
      <c r="P137" s="516"/>
      <c r="Q137" s="169">
        <f t="shared" si="12"/>
        <v>-96411.72093599998</v>
      </c>
      <c r="R137" s="586">
        <f t="shared" si="13"/>
        <v>-0.006720437029029308</v>
      </c>
      <c r="S137" s="467"/>
    </row>
    <row r="138" spans="2:19" ht="12.75">
      <c r="B138" s="466"/>
      <c r="C138" s="53" t="s">
        <v>333</v>
      </c>
      <c r="D138" s="89">
        <f>D136*D110</f>
        <v>5974.45875</v>
      </c>
      <c r="E138" s="89">
        <f>E136*E110</f>
        <v>5366.272274999999</v>
      </c>
      <c r="F138" s="89">
        <f>F136*F110</f>
        <v>5901.064649999999</v>
      </c>
      <c r="G138" s="125">
        <f>G136*G110</f>
        <v>6083.654849999999</v>
      </c>
      <c r="H138" s="20"/>
      <c r="I138" s="467"/>
      <c r="K138" s="466"/>
      <c r="L138" s="228"/>
      <c r="M138" s="42" t="s">
        <v>590</v>
      </c>
      <c r="N138" s="516"/>
      <c r="O138" s="516"/>
      <c r="P138" s="516"/>
      <c r="Q138" s="169">
        <f t="shared" si="12"/>
        <v>-2000</v>
      </c>
      <c r="R138" s="586">
        <f t="shared" si="13"/>
        <v>-0.00013941120361269076</v>
      </c>
      <c r="S138" s="467"/>
    </row>
    <row r="139" spans="2:19" ht="13.5" thickBot="1">
      <c r="B139" s="466"/>
      <c r="C139" s="43" t="s">
        <v>334</v>
      </c>
      <c r="D139" s="94">
        <f>D136-D137-D138</f>
        <v>30668.888250000004</v>
      </c>
      <c r="E139" s="94">
        <f>E136-E137-E138</f>
        <v>27546.864344999998</v>
      </c>
      <c r="F139" s="94">
        <f>F136-F137-F138</f>
        <v>30292.131869999997</v>
      </c>
      <c r="G139" s="128">
        <f>G136-G137-G138</f>
        <v>31229.428229999998</v>
      </c>
      <c r="H139" s="20"/>
      <c r="I139" s="467"/>
      <c r="K139" s="466"/>
      <c r="L139" s="236"/>
      <c r="M139" s="63" t="s">
        <v>245</v>
      </c>
      <c r="N139" s="523"/>
      <c r="O139" s="523"/>
      <c r="P139" s="523"/>
      <c r="Q139" s="169">
        <f t="shared" si="12"/>
        <v>-107595.36974999998</v>
      </c>
      <c r="R139" s="586">
        <f t="shared" si="13"/>
        <v>-0.007499999999999999</v>
      </c>
      <c r="S139" s="467"/>
    </row>
    <row r="140" spans="2:30" ht="12.75">
      <c r="B140" s="466"/>
      <c r="C140" s="46" t="s">
        <v>338</v>
      </c>
      <c r="D140" s="47"/>
      <c r="E140" s="47"/>
      <c r="F140" s="47"/>
      <c r="G140" s="119"/>
      <c r="H140" s="20"/>
      <c r="I140" s="467"/>
      <c r="K140" s="466"/>
      <c r="L140" s="236"/>
      <c r="M140" s="63" t="s">
        <v>644</v>
      </c>
      <c r="N140" s="523"/>
      <c r="O140" s="283"/>
      <c r="P140" s="283"/>
      <c r="Q140" s="169">
        <f t="shared" si="12"/>
        <v>-34268.751675</v>
      </c>
      <c r="R140" s="586">
        <f t="shared" si="13"/>
        <v>-0.0023887239586580815</v>
      </c>
      <c r="S140" s="467"/>
      <c r="AA140" s="17"/>
      <c r="AB140" s="17"/>
      <c r="AC140" s="17"/>
      <c r="AD140" s="17"/>
    </row>
    <row r="141" spans="2:21" ht="12.75">
      <c r="B141" s="466"/>
      <c r="C141" s="53" t="s">
        <v>318</v>
      </c>
      <c r="D141" s="89">
        <f aca="true" t="shared" si="14" ref="D141:G145">D115*D$136</f>
        <v>8762.539499999999</v>
      </c>
      <c r="E141" s="89">
        <f t="shared" si="14"/>
        <v>7870.532669999999</v>
      </c>
      <c r="F141" s="89">
        <f t="shared" si="14"/>
        <v>8654.89482</v>
      </c>
      <c r="G141" s="125">
        <f t="shared" si="14"/>
        <v>8922.693779999998</v>
      </c>
      <c r="H141" s="20"/>
      <c r="I141" s="467"/>
      <c r="K141" s="466"/>
      <c r="L141" s="236"/>
      <c r="M141" s="63" t="s">
        <v>669</v>
      </c>
      <c r="N141" s="523"/>
      <c r="O141" s="283"/>
      <c r="P141" s="283"/>
      <c r="Q141" s="169">
        <f t="shared" si="12"/>
        <v>32669.400634999947</v>
      </c>
      <c r="R141" s="586">
        <f t="shared" si="13"/>
        <v>0.0022772402319152733</v>
      </c>
      <c r="S141" s="467"/>
      <c r="U141" s="105"/>
    </row>
    <row r="142" spans="2:19" ht="12.75">
      <c r="B142" s="466"/>
      <c r="C142" s="53" t="s">
        <v>322</v>
      </c>
      <c r="D142" s="89">
        <f t="shared" si="14"/>
        <v>3186.378</v>
      </c>
      <c r="E142" s="89">
        <f t="shared" si="14"/>
        <v>2862.0118799999996</v>
      </c>
      <c r="F142" s="89">
        <f t="shared" si="14"/>
        <v>3147.2344799999996</v>
      </c>
      <c r="G142" s="125">
        <f t="shared" si="14"/>
        <v>3244.6159199999997</v>
      </c>
      <c r="H142" s="20"/>
      <c r="I142" s="467"/>
      <c r="K142" s="466"/>
      <c r="L142" s="236"/>
      <c r="M142" s="63" t="s">
        <v>673</v>
      </c>
      <c r="N142" s="523"/>
      <c r="O142" s="638"/>
      <c r="P142" s="638"/>
      <c r="Q142" s="169">
        <f t="shared" si="12"/>
        <v>-40424.94084355455</v>
      </c>
      <c r="R142" s="586">
        <f t="shared" si="13"/>
        <v>-0.0028178448294858814</v>
      </c>
      <c r="S142" s="467"/>
    </row>
    <row r="143" spans="2:19" ht="13.5" thickBot="1">
      <c r="B143" s="466"/>
      <c r="C143" s="53" t="str">
        <f>C117</f>
        <v>(+) Seguro Contra Acidentes de Trabalho</v>
      </c>
      <c r="D143" s="89">
        <f t="shared" si="14"/>
        <v>398.29725</v>
      </c>
      <c r="E143" s="89">
        <f t="shared" si="14"/>
        <v>357.75148499999995</v>
      </c>
      <c r="F143" s="89">
        <f t="shared" si="14"/>
        <v>393.40430999999995</v>
      </c>
      <c r="G143" s="125">
        <f t="shared" si="14"/>
        <v>405.57698999999997</v>
      </c>
      <c r="H143" s="20"/>
      <c r="I143" s="467"/>
      <c r="K143" s="466"/>
      <c r="L143" s="230" t="s">
        <v>59</v>
      </c>
      <c r="M143" s="64"/>
      <c r="N143" s="524"/>
      <c r="O143" s="524"/>
      <c r="P143" s="524"/>
      <c r="Q143" s="587">
        <f t="shared" si="12"/>
        <v>352508.4724674831</v>
      </c>
      <c r="R143" s="588">
        <f t="shared" si="13"/>
        <v>0.024571815215181442</v>
      </c>
      <c r="S143" s="467"/>
    </row>
    <row r="144" spans="2:19" ht="13.5" thickBot="1">
      <c r="B144" s="466"/>
      <c r="C144" s="53" t="str">
        <f>C118</f>
        <v>(+) Provisão Férias</v>
      </c>
      <c r="D144" s="89">
        <f t="shared" si="14"/>
        <v>4815.775840909091</v>
      </c>
      <c r="E144" s="89">
        <f t="shared" si="14"/>
        <v>4325.540682272726</v>
      </c>
      <c r="F144" s="89">
        <f t="shared" si="14"/>
        <v>4756.615748181818</v>
      </c>
      <c r="G144" s="125">
        <f t="shared" si="14"/>
        <v>4903.794515454545</v>
      </c>
      <c r="H144" s="20"/>
      <c r="I144" s="467"/>
      <c r="K144" s="466"/>
      <c r="L144" s="20"/>
      <c r="M144" s="20"/>
      <c r="N144" s="20"/>
      <c r="O144" s="20"/>
      <c r="P144" s="20"/>
      <c r="Q144" s="20"/>
      <c r="R144" s="20"/>
      <c r="S144" s="467"/>
    </row>
    <row r="145" spans="2:19" ht="13.5" thickBot="1">
      <c r="B145" s="466"/>
      <c r="C145" s="54" t="str">
        <f>C119</f>
        <v>(+) Provisão 13° Salário</v>
      </c>
      <c r="D145" s="89">
        <f t="shared" si="14"/>
        <v>3584.67525</v>
      </c>
      <c r="E145" s="89">
        <f t="shared" si="14"/>
        <v>3219.7633649999993</v>
      </c>
      <c r="F145" s="89">
        <f t="shared" si="14"/>
        <v>3540.6387899999995</v>
      </c>
      <c r="G145" s="125">
        <f t="shared" si="14"/>
        <v>3650.1929099999993</v>
      </c>
      <c r="H145" s="20"/>
      <c r="I145" s="467"/>
      <c r="K145" s="466"/>
      <c r="L145" s="231" t="s">
        <v>60</v>
      </c>
      <c r="M145" s="39"/>
      <c r="N145" s="522" t="s">
        <v>591</v>
      </c>
      <c r="O145" s="40" t="s">
        <v>634</v>
      </c>
      <c r="P145" s="589" t="s">
        <v>635</v>
      </c>
      <c r="Q145" s="40" t="s">
        <v>634</v>
      </c>
      <c r="R145" s="84" t="s">
        <v>636</v>
      </c>
      <c r="S145" s="467"/>
    </row>
    <row r="146" spans="2:19" ht="12.75">
      <c r="B146" s="466"/>
      <c r="C146" s="54" t="str">
        <f>C120</f>
        <v>(+) Provisão Depósito para Rescisões (Multa Rescisória 40%)</v>
      </c>
      <c r="D146" s="89">
        <f aca="true" t="shared" si="15" ref="D146:G147">D120*D$136</f>
        <v>1274.5511999999999</v>
      </c>
      <c r="E146" s="89">
        <f t="shared" si="15"/>
        <v>1144.8047519999998</v>
      </c>
      <c r="F146" s="89">
        <f t="shared" si="15"/>
        <v>1258.8937919999998</v>
      </c>
      <c r="G146" s="125">
        <f t="shared" si="15"/>
        <v>1297.8463679999998</v>
      </c>
      <c r="H146" s="20"/>
      <c r="I146" s="467"/>
      <c r="K146" s="466"/>
      <c r="L146" s="591" t="s">
        <v>61</v>
      </c>
      <c r="M146" s="61"/>
      <c r="N146" s="592"/>
      <c r="O146" s="75"/>
      <c r="P146" s="593"/>
      <c r="Q146" s="75"/>
      <c r="R146" s="76"/>
      <c r="S146" s="467"/>
    </row>
    <row r="147" spans="2:19" ht="12.75">
      <c r="B147" s="466"/>
      <c r="C147" s="54" t="str">
        <f>C121</f>
        <v>(+) Provisão para Aviso Prévio</v>
      </c>
      <c r="D147" s="89">
        <f t="shared" si="15"/>
        <v>398.29725</v>
      </c>
      <c r="E147" s="89">
        <f t="shared" si="15"/>
        <v>357.75148499999995</v>
      </c>
      <c r="F147" s="89">
        <f t="shared" si="15"/>
        <v>393.40430999999995</v>
      </c>
      <c r="G147" s="125">
        <f t="shared" si="15"/>
        <v>405.57698999999997</v>
      </c>
      <c r="H147" s="20"/>
      <c r="I147" s="467"/>
      <c r="K147" s="466"/>
      <c r="L147" s="234"/>
      <c r="M147" s="53" t="s">
        <v>62</v>
      </c>
      <c r="N147" s="531">
        <f>N57*(1+Dados!B$3)*(1+Dados!C$3)*(1+Dados!D$3)*(1+Dados!E$3)</f>
        <v>675.241632</v>
      </c>
      <c r="O147" s="596">
        <f aca="true" t="shared" si="16" ref="O147:O158">N147/N$168</f>
        <v>0.0022129605724191346</v>
      </c>
      <c r="P147" s="590">
        <f aca="true" t="shared" si="17" ref="P147:P158">R57</f>
        <v>0</v>
      </c>
      <c r="Q147" s="596">
        <f aca="true" t="shared" si="18" ref="Q147:Q158">P147/P$168</f>
        <v>0</v>
      </c>
      <c r="R147" s="599">
        <f>IF(N147&gt;0,(P147-N147)/N147,"-")</f>
        <v>-1</v>
      </c>
      <c r="S147" s="467"/>
    </row>
    <row r="148" spans="2:19" ht="13.5" thickBot="1">
      <c r="B148" s="466"/>
      <c r="C148" s="43" t="s">
        <v>335</v>
      </c>
      <c r="D148" s="94">
        <f>SUM(D141:D147)</f>
        <v>22420.51429090909</v>
      </c>
      <c r="E148" s="94">
        <f>SUM(E141:E147)</f>
        <v>20138.156319272726</v>
      </c>
      <c r="F148" s="94">
        <f>SUM(F141:F147)</f>
        <v>22145.08625018182</v>
      </c>
      <c r="G148" s="128">
        <f>SUM(G141:G147)</f>
        <v>22830.297473454542</v>
      </c>
      <c r="H148" s="20"/>
      <c r="I148" s="467"/>
      <c r="K148" s="466"/>
      <c r="L148" s="233"/>
      <c r="M148" s="53" t="s">
        <v>151</v>
      </c>
      <c r="N148" s="531">
        <f>N58*(1+Dados!B$3)*(1+Dados!C$3)*(1+Dados!D$3)*(1+Dados!E$3)</f>
        <v>0</v>
      </c>
      <c r="O148" s="596">
        <f t="shared" si="16"/>
        <v>0</v>
      </c>
      <c r="P148" s="590">
        <f t="shared" si="17"/>
        <v>283836.1223017117</v>
      </c>
      <c r="Q148" s="596">
        <f t="shared" si="18"/>
        <v>0.08941157756048253</v>
      </c>
      <c r="R148" s="599" t="str">
        <f aca="true" t="shared" si="19" ref="R148:R168">IF(N148&gt;0,(P148-N148)/N148,"-")</f>
        <v>-</v>
      </c>
      <c r="S148" s="467"/>
    </row>
    <row r="149" spans="2:19" ht="13.5" thickBot="1">
      <c r="B149" s="466"/>
      <c r="C149" s="39" t="s">
        <v>336</v>
      </c>
      <c r="D149" s="320">
        <f>D136+D148</f>
        <v>62250.239290909085</v>
      </c>
      <c r="E149" s="320">
        <f>E136+E148</f>
        <v>55913.30481927272</v>
      </c>
      <c r="F149" s="320">
        <f>F136+F148</f>
        <v>61485.517250181816</v>
      </c>
      <c r="G149" s="347">
        <f>G136+G148</f>
        <v>63387.996473454536</v>
      </c>
      <c r="H149" s="20"/>
      <c r="I149" s="467"/>
      <c r="K149" s="466"/>
      <c r="L149" s="233"/>
      <c r="M149" s="53" t="s">
        <v>38</v>
      </c>
      <c r="N149" s="531">
        <f>N59*(1+Dados!B$3)*(1+Dados!C$3)*(1+Dados!D$3)*(1+Dados!E$3)</f>
        <v>506.43122400000004</v>
      </c>
      <c r="O149" s="596">
        <f t="shared" si="16"/>
        <v>0.0016597204293143512</v>
      </c>
      <c r="P149" s="590">
        <f t="shared" si="17"/>
        <v>2060186.1923076923</v>
      </c>
      <c r="Q149" s="596">
        <f t="shared" si="18"/>
        <v>0.6489818703440042</v>
      </c>
      <c r="R149" s="599">
        <f t="shared" si="19"/>
        <v>4067.047337278106</v>
      </c>
      <c r="S149" s="467"/>
    </row>
    <row r="150" spans="2:19" ht="13.5" thickBot="1">
      <c r="B150" s="470"/>
      <c r="C150" s="471"/>
      <c r="D150" s="471"/>
      <c r="E150" s="471"/>
      <c r="F150" s="471"/>
      <c r="G150" s="471"/>
      <c r="H150" s="471"/>
      <c r="I150" s="472"/>
      <c r="K150" s="466"/>
      <c r="L150" s="233"/>
      <c r="M150" s="53" t="s">
        <v>596</v>
      </c>
      <c r="N150" s="531">
        <f>N60*(1+Dados!B$3)*(1+Dados!C$3)*(1+Dados!D$3)*(1+Dados!E$3)</f>
        <v>11254.0272</v>
      </c>
      <c r="O150" s="596">
        <f t="shared" si="16"/>
        <v>0.03688267620698558</v>
      </c>
      <c r="P150" s="590">
        <f t="shared" si="17"/>
        <v>0</v>
      </c>
      <c r="Q150" s="596">
        <f t="shared" si="18"/>
        <v>0</v>
      </c>
      <c r="R150" s="599">
        <f t="shared" si="19"/>
        <v>-1</v>
      </c>
      <c r="S150" s="467"/>
    </row>
    <row r="151" spans="11:19" ht="13.5" thickBot="1">
      <c r="K151" s="466"/>
      <c r="L151" s="233"/>
      <c r="M151" s="53" t="s">
        <v>594</v>
      </c>
      <c r="N151" s="531">
        <f>N61*(1+Dados!B$3)*(1+Dados!C$3)*(1+Dados!D$3)*(1+Dados!E$3)</f>
        <v>90.03221760000001</v>
      </c>
      <c r="O151" s="596">
        <f t="shared" si="16"/>
        <v>0.0002950614096558846</v>
      </c>
      <c r="P151" s="590">
        <f t="shared" si="17"/>
        <v>0</v>
      </c>
      <c r="Q151" s="596">
        <f t="shared" si="18"/>
        <v>0</v>
      </c>
      <c r="R151" s="599">
        <f t="shared" si="19"/>
        <v>-1</v>
      </c>
      <c r="S151" s="467"/>
    </row>
    <row r="152" spans="2:19" ht="12.75">
      <c r="B152" s="463" t="s">
        <v>464</v>
      </c>
      <c r="C152" s="464"/>
      <c r="D152" s="464"/>
      <c r="E152" s="464"/>
      <c r="F152" s="464"/>
      <c r="G152" s="464"/>
      <c r="H152" s="464"/>
      <c r="I152" s="465"/>
      <c r="K152" s="466"/>
      <c r="L152" s="233"/>
      <c r="M152" s="53" t="s">
        <v>603</v>
      </c>
      <c r="N152" s="531">
        <f>N62*(1+Dados!B$3)*(1+Dados!C$3)*(1+Dados!D$3)*(1+Dados!E$3)</f>
        <v>0</v>
      </c>
      <c r="O152" s="596">
        <f t="shared" si="16"/>
        <v>0</v>
      </c>
      <c r="P152" s="590">
        <f t="shared" si="17"/>
        <v>2.9103830456733704E-11</v>
      </c>
      <c r="Q152" s="596">
        <f t="shared" si="18"/>
        <v>9.168034614788303E-18</v>
      </c>
      <c r="R152" s="599" t="str">
        <f t="shared" si="19"/>
        <v>-</v>
      </c>
      <c r="S152" s="467"/>
    </row>
    <row r="153" spans="2:19" ht="13.5" thickBot="1">
      <c r="B153" s="466"/>
      <c r="C153" s="20"/>
      <c r="D153" s="20"/>
      <c r="E153" s="20"/>
      <c r="F153" s="20"/>
      <c r="G153" s="20"/>
      <c r="H153" s="20"/>
      <c r="I153" s="467"/>
      <c r="K153" s="466"/>
      <c r="L153" s="233"/>
      <c r="M153" s="53" t="s">
        <v>595</v>
      </c>
      <c r="N153" s="531">
        <f>N63*(1+Dados!B$3)*(1+Dados!C$3)*(1+Dados!D$3)*(1+Dados!E$3)</f>
        <v>11254.0272</v>
      </c>
      <c r="O153" s="596">
        <f t="shared" si="16"/>
        <v>0.03688267620698558</v>
      </c>
      <c r="P153" s="590">
        <f t="shared" si="17"/>
        <v>528859.3476662575</v>
      </c>
      <c r="Q153" s="596">
        <f t="shared" si="18"/>
        <v>0.16659665513673985</v>
      </c>
      <c r="R153" s="599">
        <f t="shared" si="19"/>
        <v>45.992897588363526</v>
      </c>
      <c r="S153" s="467"/>
    </row>
    <row r="154" spans="2:19" ht="12.75">
      <c r="B154" s="466"/>
      <c r="C154" s="421" t="s">
        <v>385</v>
      </c>
      <c r="D154" s="81" t="str">
        <f>$D$16</f>
        <v>Trim 1</v>
      </c>
      <c r="E154" s="81" t="str">
        <f>$E$16</f>
        <v>Trim 2</v>
      </c>
      <c r="F154" s="81" t="str">
        <f>$F$16</f>
        <v>Trim 3</v>
      </c>
      <c r="G154" s="81" t="str">
        <f>$G$16</f>
        <v>Trim 4</v>
      </c>
      <c r="H154" s="462" t="s">
        <v>20</v>
      </c>
      <c r="I154" s="467"/>
      <c r="K154" s="466"/>
      <c r="L154" s="233"/>
      <c r="M154" s="53" t="s">
        <v>137</v>
      </c>
      <c r="N154" s="531">
        <f>N64*(1+Dados!B$3)*(1+Dados!C$3)*(1+Dados!D$3)*(1+Dados!E$3)</f>
        <v>281350.68</v>
      </c>
      <c r="O154" s="596">
        <f t="shared" si="16"/>
        <v>0.9220669051746394</v>
      </c>
      <c r="P154" s="590">
        <f t="shared" si="17"/>
        <v>301607.92895999993</v>
      </c>
      <c r="Q154" s="596">
        <f t="shared" si="18"/>
        <v>0.09500989695877378</v>
      </c>
      <c r="R154" s="599">
        <f>IF(N154&gt;0,(P154-N154)/N154,"-")</f>
        <v>0.07199999999999979</v>
      </c>
      <c r="S154" s="467"/>
    </row>
    <row r="155" spans="2:19" ht="12.75">
      <c r="B155" s="466"/>
      <c r="C155" s="451" t="s">
        <v>366</v>
      </c>
      <c r="D155" s="410"/>
      <c r="E155" s="410"/>
      <c r="F155" s="410"/>
      <c r="G155" s="410"/>
      <c r="H155" s="415"/>
      <c r="I155" s="467"/>
      <c r="K155" s="466"/>
      <c r="L155" s="233"/>
      <c r="M155" s="53" t="s">
        <v>649</v>
      </c>
      <c r="N155" s="531">
        <f>N65*(1+Dados!B$3)*(1+Dados!C$3)*(1+Dados!D$3)*(1+Dados!E$3)</f>
        <v>337620.81600000005</v>
      </c>
      <c r="O155" s="596">
        <f t="shared" si="16"/>
        <v>1.1064802862095675</v>
      </c>
      <c r="P155" s="590">
        <f t="shared" si="17"/>
        <v>353207.28</v>
      </c>
      <c r="Q155" s="596">
        <f t="shared" si="18"/>
        <v>0.11126427409784488</v>
      </c>
      <c r="R155" s="599">
        <f>IF(N155&gt;0,(P155-N155)/N155,"-")</f>
        <v>0.046165589505594865</v>
      </c>
      <c r="S155" s="467"/>
    </row>
    <row r="156" spans="2:19" ht="12.75">
      <c r="B156" s="466"/>
      <c r="C156" s="422" t="s">
        <v>367</v>
      </c>
      <c r="D156" s="411"/>
      <c r="E156" s="411"/>
      <c r="F156" s="411"/>
      <c r="G156" s="412"/>
      <c r="H156" s="417"/>
      <c r="I156" s="467"/>
      <c r="K156" s="466"/>
      <c r="L156" s="233"/>
      <c r="M156" s="53" t="s">
        <v>249</v>
      </c>
      <c r="N156" s="531">
        <f>N66*(1+Dados!B$3)*(1+Dados!C$3)*(1+Dados!D$3)*(1+Dados!E$3)</f>
        <v>0</v>
      </c>
      <c r="O156" s="596">
        <f t="shared" si="16"/>
        <v>0</v>
      </c>
      <c r="P156" s="590">
        <f t="shared" si="17"/>
        <v>40683.67199999993</v>
      </c>
      <c r="Q156" s="596">
        <f t="shared" si="18"/>
        <v>0.012815815213986555</v>
      </c>
      <c r="R156" s="599" t="str">
        <f>IF(N156&gt;0,(P156-N156)/N156,"-")</f>
        <v>-</v>
      </c>
      <c r="S156" s="467"/>
    </row>
    <row r="157" spans="2:19" ht="12.75">
      <c r="B157" s="466"/>
      <c r="C157" s="422" t="s">
        <v>341</v>
      </c>
      <c r="D157" s="437">
        <f>Dados!B24</f>
        <v>0</v>
      </c>
      <c r="E157" s="437">
        <f>Dados!C24</f>
        <v>0.02</v>
      </c>
      <c r="F157" s="437">
        <f>Dados!D24</f>
        <v>0</v>
      </c>
      <c r="G157" s="437">
        <f>Dados!E24</f>
        <v>0</v>
      </c>
      <c r="H157" s="417"/>
      <c r="I157" s="467"/>
      <c r="K157" s="466"/>
      <c r="L157" s="233"/>
      <c r="M157" s="53" t="s">
        <v>645</v>
      </c>
      <c r="N157" s="531">
        <f>N67*(1+Dados!B$3)*(1+Dados!C$3)*(1+Dados!D$3)*(1+Dados!E$3)</f>
        <v>-56270.136000000006</v>
      </c>
      <c r="O157" s="596">
        <f t="shared" si="16"/>
        <v>-0.1844133810349279</v>
      </c>
      <c r="P157" s="590">
        <f t="shared" si="17"/>
        <v>-92283.02303999999</v>
      </c>
      <c r="Q157" s="596">
        <f t="shared" si="18"/>
        <v>-0.029070192353057647</v>
      </c>
      <c r="R157" s="599" t="str">
        <f>IF(N157&gt;0,(P157-N157)/N157,"-")</f>
        <v>-</v>
      </c>
      <c r="S157" s="467"/>
    </row>
    <row r="158" spans="2:30" ht="12.75">
      <c r="B158" s="466"/>
      <c r="C158" s="399" t="s">
        <v>344</v>
      </c>
      <c r="D158" s="400"/>
      <c r="E158" s="400"/>
      <c r="F158" s="400"/>
      <c r="G158" s="400"/>
      <c r="H158" s="401"/>
      <c r="I158" s="467"/>
      <c r="K158" s="466"/>
      <c r="L158" s="235"/>
      <c r="M158" s="48" t="s">
        <v>20</v>
      </c>
      <c r="N158" s="531">
        <f>N68*(1+Dados!B$3)*(1+Dados!C$3)*(1+Dados!D$3)*(1+Dados!E$3)</f>
        <v>305130.4394736</v>
      </c>
      <c r="O158" s="596">
        <f t="shared" si="16"/>
        <v>1</v>
      </c>
      <c r="P158" s="590">
        <f t="shared" si="17"/>
        <v>3174489.591235661</v>
      </c>
      <c r="Q158" s="596">
        <f t="shared" si="18"/>
        <v>1.0000000000000002</v>
      </c>
      <c r="R158" s="599">
        <f t="shared" si="19"/>
        <v>9.40371323396045</v>
      </c>
      <c r="S158" s="467"/>
      <c r="AC158" s="17"/>
      <c r="AD158" s="17"/>
    </row>
    <row r="159" spans="2:19" ht="12.75">
      <c r="B159" s="466"/>
      <c r="C159" s="399" t="s">
        <v>345</v>
      </c>
      <c r="D159" s="405"/>
      <c r="E159" s="405"/>
      <c r="F159" s="405"/>
      <c r="G159" s="405"/>
      <c r="H159" s="406"/>
      <c r="I159" s="467"/>
      <c r="K159" s="466"/>
      <c r="L159" s="233" t="s">
        <v>64</v>
      </c>
      <c r="M159" s="53"/>
      <c r="N159" s="531">
        <f>N69*(1+Dados!B$3)*(1+Dados!C$3)*(1+Dados!D$3)*(1+Dados!E$3)</f>
        <v>0</v>
      </c>
      <c r="O159" s="596"/>
      <c r="P159" s="590"/>
      <c r="Q159" s="596"/>
      <c r="R159" s="599"/>
      <c r="S159" s="467"/>
    </row>
    <row r="160" spans="2:19" ht="12.75">
      <c r="B160" s="466"/>
      <c r="C160" s="416" t="s">
        <v>480</v>
      </c>
      <c r="D160" s="427">
        <f>Dados!B56</f>
        <v>2000</v>
      </c>
      <c r="E160" s="426">
        <f>D160*(1+D$157)</f>
        <v>2000</v>
      </c>
      <c r="F160" s="426">
        <f>E160*(1+E$157)</f>
        <v>2040</v>
      </c>
      <c r="G160" s="426">
        <f>F160*(1+F$157)</f>
        <v>2040</v>
      </c>
      <c r="H160" s="418">
        <f>SUM(D160:G160)</f>
        <v>8080</v>
      </c>
      <c r="I160" s="467"/>
      <c r="K160" s="466"/>
      <c r="L160" s="234"/>
      <c r="M160" s="53" t="s">
        <v>41</v>
      </c>
      <c r="N160" s="531">
        <f>N70*(1+Dados!B$3)*(1+Dados!C$3)*(1+Dados!D$3)*(1+Dados!E$3)</f>
        <v>225.08054400000003</v>
      </c>
      <c r="O160" s="596">
        <f>N160/N$168</f>
        <v>0.0007376535241397117</v>
      </c>
      <c r="P160" s="590">
        <f>R70</f>
        <v>533146.223076923</v>
      </c>
      <c r="Q160" s="596">
        <f>P160/P$168</f>
        <v>0.16794706920724145</v>
      </c>
      <c r="R160" s="599">
        <f t="shared" si="19"/>
        <v>2367.690841074753</v>
      </c>
      <c r="S160" s="467"/>
    </row>
    <row r="161" spans="2:19" ht="12.75">
      <c r="B161" s="466"/>
      <c r="C161" s="416" t="s">
        <v>481</v>
      </c>
      <c r="D161" s="427">
        <f>Dados!B57</f>
        <v>3000</v>
      </c>
      <c r="E161" s="426">
        <f aca="true" t="shared" si="20" ref="E161:G162">D161*(1+D$157)</f>
        <v>3000</v>
      </c>
      <c r="F161" s="426">
        <f t="shared" si="20"/>
        <v>3060</v>
      </c>
      <c r="G161" s="426">
        <f t="shared" si="20"/>
        <v>3060</v>
      </c>
      <c r="H161" s="418">
        <f aca="true" t="shared" si="21" ref="H161:H168">SUM(D161:G161)</f>
        <v>12120</v>
      </c>
      <c r="I161" s="467"/>
      <c r="K161" s="466"/>
      <c r="L161" s="233"/>
      <c r="M161" s="53" t="s">
        <v>553</v>
      </c>
      <c r="N161" s="531">
        <f>N71*(1+Dados!B$3)*(1+Dados!C$3)*(1+Dados!D$3)*(1+Dados!E$3)</f>
        <v>0</v>
      </c>
      <c r="O161" s="596">
        <f>N161/N$168</f>
        <v>0</v>
      </c>
      <c r="P161" s="590">
        <f>R71</f>
        <v>23019.147055384645</v>
      </c>
      <c r="Q161" s="596">
        <f>P161/P$168</f>
        <v>0.007251290764643684</v>
      </c>
      <c r="R161" s="599" t="str">
        <f t="shared" si="19"/>
        <v>-</v>
      </c>
      <c r="S161" s="467"/>
    </row>
    <row r="162" spans="2:19" ht="12.75">
      <c r="B162" s="466"/>
      <c r="C162" s="416" t="s">
        <v>482</v>
      </c>
      <c r="D162" s="427">
        <f>Dados!B58</f>
        <v>6000</v>
      </c>
      <c r="E162" s="426">
        <f t="shared" si="20"/>
        <v>6000</v>
      </c>
      <c r="F162" s="426">
        <f t="shared" si="20"/>
        <v>6120</v>
      </c>
      <c r="G162" s="426">
        <f t="shared" si="20"/>
        <v>6120</v>
      </c>
      <c r="H162" s="418">
        <f t="shared" si="21"/>
        <v>24240</v>
      </c>
      <c r="I162" s="467"/>
      <c r="K162" s="466"/>
      <c r="L162" s="233"/>
      <c r="M162" s="53" t="s">
        <v>105</v>
      </c>
      <c r="N162" s="531">
        <f>N72*(1+Dados!B$3)*(1+Dados!C$3)*(1+Dados!D$3)*(1+Dados!E$3)</f>
        <v>0</v>
      </c>
      <c r="O162" s="596">
        <f>N162/N$168</f>
        <v>0</v>
      </c>
      <c r="P162" s="590">
        <f>R72</f>
        <v>41434.464699692326</v>
      </c>
      <c r="Q162" s="596">
        <f>P162/P$168</f>
        <v>0.01305232337635862</v>
      </c>
      <c r="R162" s="599" t="str">
        <f t="shared" si="19"/>
        <v>-</v>
      </c>
      <c r="S162" s="467"/>
    </row>
    <row r="163" spans="2:19" ht="12.75">
      <c r="B163" s="466"/>
      <c r="C163" s="416" t="s">
        <v>483</v>
      </c>
      <c r="D163" s="427">
        <f>Dados!B59</f>
        <v>3000</v>
      </c>
      <c r="E163" s="426">
        <f aca="true" t="shared" si="22" ref="E163:G165">D163*(1+D$14)</f>
        <v>3090</v>
      </c>
      <c r="F163" s="426">
        <f t="shared" si="22"/>
        <v>3151.8</v>
      </c>
      <c r="G163" s="426">
        <f t="shared" si="22"/>
        <v>3246.3540000000003</v>
      </c>
      <c r="H163" s="418">
        <f t="shared" si="21"/>
        <v>12488.153999999999</v>
      </c>
      <c r="I163" s="467"/>
      <c r="K163" s="466"/>
      <c r="L163" s="235"/>
      <c r="M163" s="42" t="s">
        <v>65</v>
      </c>
      <c r="N163" s="531">
        <f>N73*(1+Dados!B$3)*(1+Dados!C$3)*(1+Dados!D$3)*(1+Dados!E$3)</f>
        <v>225.08054400000003</v>
      </c>
      <c r="O163" s="596">
        <f>N163/N$168</f>
        <v>0.0007376535241397117</v>
      </c>
      <c r="P163" s="590">
        <f>R73</f>
        <v>1913226.3430926222</v>
      </c>
      <c r="Q163" s="596">
        <f>P163/P$168</f>
        <v>0.6026878614989898</v>
      </c>
      <c r="R163" s="599">
        <f t="shared" si="19"/>
        <v>8499.185351838416</v>
      </c>
      <c r="S163" s="467"/>
    </row>
    <row r="164" spans="2:19" ht="12.75">
      <c r="B164" s="466"/>
      <c r="C164" s="416" t="s">
        <v>484</v>
      </c>
      <c r="D164" s="427">
        <f>Dados!B60</f>
        <v>1000</v>
      </c>
      <c r="E164" s="426">
        <f t="shared" si="22"/>
        <v>1030</v>
      </c>
      <c r="F164" s="426">
        <f t="shared" si="22"/>
        <v>1050.6</v>
      </c>
      <c r="G164" s="426">
        <f t="shared" si="22"/>
        <v>1082.118</v>
      </c>
      <c r="H164" s="418">
        <f t="shared" si="21"/>
        <v>4162.718</v>
      </c>
      <c r="I164" s="467"/>
      <c r="K164" s="466"/>
      <c r="L164" s="233" t="s">
        <v>66</v>
      </c>
      <c r="M164" s="42"/>
      <c r="N164" s="531">
        <f>N74*(1+Dados!B$3)*(1+Dados!C$3)*(1+Dados!D$3)*(1+Dados!E$3)</f>
        <v>0</v>
      </c>
      <c r="O164" s="596"/>
      <c r="P164" s="590"/>
      <c r="Q164" s="596"/>
      <c r="R164" s="599"/>
      <c r="S164" s="467"/>
    </row>
    <row r="165" spans="2:19" ht="12.75">
      <c r="B165" s="466"/>
      <c r="C165" s="416" t="s">
        <v>485</v>
      </c>
      <c r="D165" s="427">
        <f>Dados!B61</f>
        <v>2000</v>
      </c>
      <c r="E165" s="426">
        <f t="shared" si="22"/>
        <v>2060</v>
      </c>
      <c r="F165" s="426">
        <f t="shared" si="22"/>
        <v>2101.2</v>
      </c>
      <c r="G165" s="426">
        <f t="shared" si="22"/>
        <v>2164.236</v>
      </c>
      <c r="H165" s="418">
        <f t="shared" si="21"/>
        <v>8325.436</v>
      </c>
      <c r="I165" s="467"/>
      <c r="K165" s="466"/>
      <c r="L165" s="233"/>
      <c r="M165" s="42" t="s">
        <v>138</v>
      </c>
      <c r="N165" s="531">
        <f>N75*(1+Dados!B$3)*(1+Dados!C$3)*(1+Dados!D$3)*(1+Dados!E$3)</f>
        <v>302429.47294560005</v>
      </c>
      <c r="O165" s="596">
        <f>N165/N$168</f>
        <v>0.9911481577103236</v>
      </c>
      <c r="P165" s="590">
        <f>R75</f>
        <v>268730</v>
      </c>
      <c r="Q165" s="596">
        <f>P165/P$168</f>
        <v>0.08465297877867595</v>
      </c>
      <c r="R165" s="599">
        <f t="shared" si="19"/>
        <v>-0.11142919576380637</v>
      </c>
      <c r="S165" s="467"/>
    </row>
    <row r="166" spans="2:19" ht="12.75">
      <c r="B166" s="466"/>
      <c r="C166" s="416" t="s">
        <v>352</v>
      </c>
      <c r="D166" s="427">
        <f>Dados!B62</f>
        <v>1000</v>
      </c>
      <c r="E166" s="426">
        <f aca="true" t="shared" si="23" ref="E166:G168">D166</f>
        <v>1000</v>
      </c>
      <c r="F166" s="426">
        <f t="shared" si="23"/>
        <v>1000</v>
      </c>
      <c r="G166" s="426">
        <f t="shared" si="23"/>
        <v>1000</v>
      </c>
      <c r="H166" s="418">
        <f t="shared" si="21"/>
        <v>4000</v>
      </c>
      <c r="I166" s="467"/>
      <c r="K166" s="478"/>
      <c r="L166" s="233"/>
      <c r="M166" s="42" t="s">
        <v>659</v>
      </c>
      <c r="N166" s="531">
        <f>N76*(1+Dados!B$3)*(1+Dados!C$3)*(1+Dados!D$3)*(1+Dados!E$3)</f>
        <v>2250.80544</v>
      </c>
      <c r="O166" s="596">
        <f>N166/N$168</f>
        <v>0.007376535241397116</v>
      </c>
      <c r="P166" s="590">
        <f>R76</f>
        <v>33699.47294560005</v>
      </c>
      <c r="Q166" s="596">
        <f>P166/P$168</f>
        <v>0.010615713794948257</v>
      </c>
      <c r="R166" s="599">
        <f>IF(N166&gt;0,(P166-N166)/N166,"-")</f>
        <v>13.972183888803844</v>
      </c>
      <c r="S166" s="479"/>
    </row>
    <row r="167" spans="2:19" ht="12.75">
      <c r="B167" s="466"/>
      <c r="C167" s="416" t="s">
        <v>353</v>
      </c>
      <c r="D167" s="427">
        <f>Dados!B63</f>
        <v>1000</v>
      </c>
      <c r="E167" s="426">
        <f t="shared" si="23"/>
        <v>1000</v>
      </c>
      <c r="F167" s="426">
        <f t="shared" si="23"/>
        <v>1000</v>
      </c>
      <c r="G167" s="426">
        <f t="shared" si="23"/>
        <v>1000</v>
      </c>
      <c r="H167" s="418">
        <f t="shared" si="21"/>
        <v>4000</v>
      </c>
      <c r="I167" s="467"/>
      <c r="K167" s="466"/>
      <c r="L167" s="236"/>
      <c r="M167" s="42" t="s">
        <v>67</v>
      </c>
      <c r="N167" s="531">
        <f>N77*(1+Dados!B$3)*(1+Dados!C$3)*(1+Dados!D$3)*(1+Dados!E$3)</f>
        <v>0</v>
      </c>
      <c r="O167" s="596">
        <f>N167/N$168</f>
        <v>0</v>
      </c>
      <c r="P167" s="590">
        <f>R77</f>
        <v>361233.9403654376</v>
      </c>
      <c r="Q167" s="596">
        <f>P167/P$168</f>
        <v>0.11379276257914218</v>
      </c>
      <c r="R167" s="599" t="str">
        <f t="shared" si="19"/>
        <v>-</v>
      </c>
      <c r="S167" s="467"/>
    </row>
    <row r="168" spans="2:19" ht="13.5" thickBot="1">
      <c r="B168" s="466"/>
      <c r="C168" s="416" t="s">
        <v>354</v>
      </c>
      <c r="D168" s="427">
        <f>Dados!B64</f>
        <v>1000</v>
      </c>
      <c r="E168" s="426">
        <f t="shared" si="23"/>
        <v>1000</v>
      </c>
      <c r="F168" s="426">
        <f t="shared" si="23"/>
        <v>1000</v>
      </c>
      <c r="G168" s="426">
        <f t="shared" si="23"/>
        <v>1000</v>
      </c>
      <c r="H168" s="418">
        <f t="shared" si="21"/>
        <v>4000</v>
      </c>
      <c r="I168" s="467"/>
      <c r="K168" s="466"/>
      <c r="L168" s="237"/>
      <c r="M168" s="50" t="s">
        <v>20</v>
      </c>
      <c r="N168" s="594">
        <f>N78*(1+Dados!B$3)*(1+Dados!C$3)*(1+Dados!D$3)*(1+Dados!E$3)</f>
        <v>305130.4394736</v>
      </c>
      <c r="O168" s="597">
        <f>N168/N$168</f>
        <v>1</v>
      </c>
      <c r="P168" s="595">
        <f>R78</f>
        <v>3174489.59123566</v>
      </c>
      <c r="Q168" s="597">
        <f>P168/P$168</f>
        <v>1</v>
      </c>
      <c r="R168" s="600">
        <f t="shared" si="19"/>
        <v>9.403713233960447</v>
      </c>
      <c r="S168" s="467"/>
    </row>
    <row r="169" spans="2:30" ht="13.5" thickBot="1">
      <c r="B169" s="466"/>
      <c r="C169" s="416" t="s">
        <v>355</v>
      </c>
      <c r="D169" s="402">
        <f>SUM(D160:D168)</f>
        <v>20000</v>
      </c>
      <c r="E169" s="402">
        <f>SUM(E160:E168)</f>
        <v>20180</v>
      </c>
      <c r="F169" s="402">
        <f>SUM(F160:F168)</f>
        <v>20523.6</v>
      </c>
      <c r="G169" s="402">
        <f>SUM(G160:G168)</f>
        <v>20712.708</v>
      </c>
      <c r="H169" s="404">
        <f>SUM(H160:H168)</f>
        <v>81416.30799999999</v>
      </c>
      <c r="I169" s="467"/>
      <c r="K169" s="466"/>
      <c r="L169" s="20"/>
      <c r="M169" s="20"/>
      <c r="N169" s="20"/>
      <c r="O169" s="20"/>
      <c r="P169" s="20"/>
      <c r="Q169" s="20"/>
      <c r="R169" s="20"/>
      <c r="S169" s="467"/>
      <c r="AD169" s="105"/>
    </row>
    <row r="170" spans="2:29" ht="13.5" thickBot="1">
      <c r="B170" s="466"/>
      <c r="C170" s="399" t="s">
        <v>356</v>
      </c>
      <c r="D170" s="423"/>
      <c r="E170" s="426"/>
      <c r="F170" s="426"/>
      <c r="G170" s="426"/>
      <c r="H170" s="428"/>
      <c r="I170" s="467"/>
      <c r="K170" s="466"/>
      <c r="L170" s="560"/>
      <c r="M170" s="561"/>
      <c r="N170" s="561"/>
      <c r="O170" s="561"/>
      <c r="P170" s="561"/>
      <c r="Q170" s="561"/>
      <c r="R170" s="562"/>
      <c r="S170" s="467"/>
      <c r="AC170" s="105"/>
    </row>
    <row r="171" spans="2:21" ht="13.5" thickBot="1">
      <c r="B171" s="466"/>
      <c r="C171" s="416" t="s">
        <v>346</v>
      </c>
      <c r="D171" s="427">
        <f>Dados!B67</f>
        <v>2000</v>
      </c>
      <c r="E171" s="426">
        <f aca="true" t="shared" si="24" ref="E171:G173">D171*(1+D$157)</f>
        <v>2000</v>
      </c>
      <c r="F171" s="426">
        <f t="shared" si="24"/>
        <v>2040</v>
      </c>
      <c r="G171" s="426">
        <f t="shared" si="24"/>
        <v>2040</v>
      </c>
      <c r="H171" s="418">
        <f>SUM(D171:G171)</f>
        <v>8080</v>
      </c>
      <c r="I171" s="467"/>
      <c r="K171" s="466"/>
      <c r="L171" s="39" t="s">
        <v>638</v>
      </c>
      <c r="M171" s="40"/>
      <c r="N171" s="223"/>
      <c r="O171" s="40" t="str">
        <f>O85</f>
        <v>Trim 1</v>
      </c>
      <c r="P171" s="40" t="str">
        <f>P85</f>
        <v>Trim 2</v>
      </c>
      <c r="Q171" s="40" t="str">
        <f>Q85</f>
        <v>Trim 3</v>
      </c>
      <c r="R171" s="84" t="str">
        <f>R85</f>
        <v>Trim 4</v>
      </c>
      <c r="S171" s="467"/>
      <c r="U171" s="17"/>
    </row>
    <row r="172" spans="2:28" ht="12.75">
      <c r="B172" s="466"/>
      <c r="C172" s="416" t="s">
        <v>347</v>
      </c>
      <c r="D172" s="427">
        <f>Dados!B68</f>
        <v>3000</v>
      </c>
      <c r="E172" s="426">
        <f t="shared" si="24"/>
        <v>3000</v>
      </c>
      <c r="F172" s="426">
        <f t="shared" si="24"/>
        <v>3060</v>
      </c>
      <c r="G172" s="426">
        <f t="shared" si="24"/>
        <v>3060</v>
      </c>
      <c r="H172" s="418">
        <f aca="true" t="shared" si="25" ref="H172:H179">SUM(D172:G172)</f>
        <v>12120</v>
      </c>
      <c r="I172" s="467"/>
      <c r="K172" s="466"/>
      <c r="L172" s="655" t="s">
        <v>619</v>
      </c>
      <c r="M172" s="656"/>
      <c r="N172" s="627"/>
      <c r="O172" s="628">
        <f>-SUM(O43:O49)/(O42/(O40+O39))*1.1</f>
        <v>1459423.2091399939</v>
      </c>
      <c r="P172" s="628">
        <f>-SUM(P43:P49)/(P42/(P40+P39))*1.1</f>
        <v>1582211.6941295487</v>
      </c>
      <c r="Q172" s="628">
        <f>-SUM(Q43:Q49)/(Q42/(Q40+Q39))*1.1</f>
        <v>1153422.947198957</v>
      </c>
      <c r="R172" s="629">
        <f>-SUM(R43:R49)/(R42/(R40+R39))*1.1</f>
        <v>947343.7482681351</v>
      </c>
      <c r="S172" s="467"/>
      <c r="AA172" s="17"/>
      <c r="AB172" s="17"/>
    </row>
    <row r="173" spans="2:19" ht="12.75">
      <c r="B173" s="466"/>
      <c r="C173" s="416" t="s">
        <v>348</v>
      </c>
      <c r="D173" s="427">
        <f>Dados!B69</f>
        <v>3000</v>
      </c>
      <c r="E173" s="426">
        <f t="shared" si="24"/>
        <v>3000</v>
      </c>
      <c r="F173" s="426">
        <f t="shared" si="24"/>
        <v>3060</v>
      </c>
      <c r="G173" s="426">
        <f t="shared" si="24"/>
        <v>3060</v>
      </c>
      <c r="H173" s="418">
        <f t="shared" si="25"/>
        <v>12120</v>
      </c>
      <c r="I173" s="467"/>
      <c r="K173" s="466"/>
      <c r="L173" s="652" t="s">
        <v>631</v>
      </c>
      <c r="M173" s="653"/>
      <c r="N173" s="575"/>
      <c r="O173" s="494">
        <f>(O37-O172)/O172</f>
        <v>1.0727366681954895</v>
      </c>
      <c r="P173" s="494">
        <f>(P37-P172)/P172</f>
        <v>1.1482586765167062</v>
      </c>
      <c r="Q173" s="494">
        <f>(Q37-Q172)/Q172</f>
        <v>2.2563033439910707</v>
      </c>
      <c r="R173" s="496">
        <f>(R37-R172)/R172</f>
        <v>3.3977218487125294</v>
      </c>
      <c r="S173" s="467"/>
    </row>
    <row r="174" spans="2:19" ht="12.75">
      <c r="B174" s="466"/>
      <c r="C174" s="416" t="s">
        <v>349</v>
      </c>
      <c r="D174" s="427">
        <f>Dados!B70</f>
        <v>1000</v>
      </c>
      <c r="E174" s="426">
        <f aca="true" t="shared" si="26" ref="E174:G175">D174*(1+D$14)</f>
        <v>1030</v>
      </c>
      <c r="F174" s="426">
        <f t="shared" si="26"/>
        <v>1050.6</v>
      </c>
      <c r="G174" s="426">
        <f t="shared" si="26"/>
        <v>1082.118</v>
      </c>
      <c r="H174" s="418">
        <f t="shared" si="25"/>
        <v>4162.718</v>
      </c>
      <c r="I174" s="467"/>
      <c r="K174" s="466"/>
      <c r="L174" s="652" t="s">
        <v>620</v>
      </c>
      <c r="M174" s="653"/>
      <c r="N174" s="575"/>
      <c r="O174" s="556">
        <f>O42/(O50-O45-O48-O49)</f>
        <v>4.226562084371801</v>
      </c>
      <c r="P174" s="556">
        <f>P42/(P50-P45-P48-P49)</f>
        <v>3.489651152366625</v>
      </c>
      <c r="Q174" s="556">
        <f>Q42/(Q50-Q45-Q48-Q49)</f>
        <v>1.8801541724778315</v>
      </c>
      <c r="R174" s="566">
        <f>R42/(R50-R45-R48-R49)</f>
        <v>1.498437982816341</v>
      </c>
      <c r="S174" s="467"/>
    </row>
    <row r="175" spans="2:19" ht="12.75">
      <c r="B175" s="466"/>
      <c r="C175" s="416" t="s">
        <v>350</v>
      </c>
      <c r="D175" s="427">
        <f>Dados!B71</f>
        <v>2000</v>
      </c>
      <c r="E175" s="426">
        <f t="shared" si="26"/>
        <v>2060</v>
      </c>
      <c r="F175" s="426">
        <f t="shared" si="26"/>
        <v>2101.2</v>
      </c>
      <c r="G175" s="426">
        <f t="shared" si="26"/>
        <v>2164.236</v>
      </c>
      <c r="H175" s="418">
        <f t="shared" si="25"/>
        <v>8325.436</v>
      </c>
      <c r="I175" s="467"/>
      <c r="K175" s="466"/>
      <c r="L175" s="652" t="s">
        <v>621</v>
      </c>
      <c r="M175" s="653"/>
      <c r="N175" s="575"/>
      <c r="O175" s="556">
        <f>(O50-O45-O48-O49)/O50</f>
        <v>0.9611368129831981</v>
      </c>
      <c r="P175" s="556">
        <f>(P50-P45-P48-P49)/P50</f>
        <v>1.050959136180768</v>
      </c>
      <c r="Q175" s="556">
        <f>(Q50-Q45-Q48-Q49)/Q50</f>
        <v>1.0225119833699088</v>
      </c>
      <c r="R175" s="566">
        <f>(R50-R45-R48-R49)/R50</f>
        <v>1.0351467838513773</v>
      </c>
      <c r="S175" s="467"/>
    </row>
    <row r="176" spans="2:19" ht="12.75">
      <c r="B176" s="466"/>
      <c r="C176" s="416" t="s">
        <v>351</v>
      </c>
      <c r="D176" s="427">
        <f>Dados!B72</f>
        <v>1000</v>
      </c>
      <c r="E176" s="426">
        <f aca="true" t="shared" si="27" ref="E176:G178">D176</f>
        <v>1000</v>
      </c>
      <c r="F176" s="426">
        <f t="shared" si="27"/>
        <v>1000</v>
      </c>
      <c r="G176" s="426">
        <f t="shared" si="27"/>
        <v>1000</v>
      </c>
      <c r="H176" s="418">
        <f t="shared" si="25"/>
        <v>4000</v>
      </c>
      <c r="I176" s="467"/>
      <c r="K176" s="466"/>
      <c r="L176" s="652" t="s">
        <v>622</v>
      </c>
      <c r="M176" s="653"/>
      <c r="N176" s="575"/>
      <c r="O176" s="556">
        <f>O42/O50</f>
        <v>4.062304411648736</v>
      </c>
      <c r="P176" s="556">
        <f>P42/P50</f>
        <v>3.6674807606634494</v>
      </c>
      <c r="Q176" s="556">
        <f>Q42/Q50</f>
        <v>1.9224801719415172</v>
      </c>
      <c r="R176" s="566">
        <f>R42/R50</f>
        <v>1.5511032587130809</v>
      </c>
      <c r="S176" s="630"/>
    </row>
    <row r="177" spans="2:19" ht="12.75">
      <c r="B177" s="466"/>
      <c r="C177" s="416" t="s">
        <v>352</v>
      </c>
      <c r="D177" s="427">
        <f>Dados!B73</f>
        <v>1000</v>
      </c>
      <c r="E177" s="426">
        <f t="shared" si="27"/>
        <v>1000</v>
      </c>
      <c r="F177" s="426">
        <f t="shared" si="27"/>
        <v>1000</v>
      </c>
      <c r="G177" s="426">
        <f t="shared" si="27"/>
        <v>1000</v>
      </c>
      <c r="H177" s="418">
        <f t="shared" si="25"/>
        <v>4000</v>
      </c>
      <c r="I177" s="467"/>
      <c r="K177" s="466"/>
      <c r="L177" s="576"/>
      <c r="M177" s="577"/>
      <c r="N177" s="577"/>
      <c r="O177" s="567"/>
      <c r="P177" s="567"/>
      <c r="Q177" s="567"/>
      <c r="R177" s="568"/>
      <c r="S177" s="467"/>
    </row>
    <row r="178" spans="2:19" ht="12.75">
      <c r="B178" s="466"/>
      <c r="C178" s="416" t="s">
        <v>353</v>
      </c>
      <c r="D178" s="427">
        <f>Dados!B74</f>
        <v>1000</v>
      </c>
      <c r="E178" s="426">
        <f t="shared" si="27"/>
        <v>1000</v>
      </c>
      <c r="F178" s="426">
        <f t="shared" si="27"/>
        <v>1000</v>
      </c>
      <c r="G178" s="426">
        <f t="shared" si="27"/>
        <v>1000</v>
      </c>
      <c r="H178" s="418">
        <f t="shared" si="25"/>
        <v>4000</v>
      </c>
      <c r="I178" s="467"/>
      <c r="K178" s="476"/>
      <c r="L178" s="652" t="s">
        <v>627</v>
      </c>
      <c r="M178" s="654"/>
      <c r="N178" s="580"/>
      <c r="O178" s="557">
        <f>O50/(SUM(O75:O77)+SUM(N75:N77))/2</f>
        <v>0.021919609589139133</v>
      </c>
      <c r="P178" s="557">
        <f>P50/(SUM(P75:P77)+SUM(O75:O77))/2</f>
        <v>0.025312862592870113</v>
      </c>
      <c r="Q178" s="557">
        <f>Q50/(SUM(Q75:Q77)+SUM(P75:P77))/2</f>
        <v>0.06437052681884564</v>
      </c>
      <c r="R178" s="639">
        <f>R50/(SUM(R75:R77)+SUM(Q75:Q77))/2</f>
        <v>0.08632833889566856</v>
      </c>
      <c r="S178" s="467"/>
    </row>
    <row r="179" spans="2:20" ht="12.75">
      <c r="B179" s="466"/>
      <c r="C179" s="416" t="s">
        <v>354</v>
      </c>
      <c r="D179" s="427">
        <f>Dados!B75</f>
        <v>0</v>
      </c>
      <c r="E179" s="405">
        <f>'[1]P.1.b-Variáveis'!C414/1000</f>
        <v>0</v>
      </c>
      <c r="F179" s="405">
        <f>'[1]P.1.b-Variáveis'!D414/1000</f>
        <v>0</v>
      </c>
      <c r="G179" s="405">
        <f>'[1]P.1.b-Variáveis'!E414/1000</f>
        <v>0</v>
      </c>
      <c r="H179" s="418">
        <f t="shared" si="25"/>
        <v>0</v>
      </c>
      <c r="I179" s="467"/>
      <c r="K179" s="466"/>
      <c r="L179" s="578" t="s">
        <v>628</v>
      </c>
      <c r="M179" s="577"/>
      <c r="N179" s="580"/>
      <c r="O179" s="67"/>
      <c r="P179" s="67"/>
      <c r="Q179" s="67"/>
      <c r="R179" s="565"/>
      <c r="S179" s="467"/>
      <c r="T179" s="17"/>
    </row>
    <row r="180" spans="2:19" ht="12.75">
      <c r="B180" s="466"/>
      <c r="C180" s="416" t="s">
        <v>357</v>
      </c>
      <c r="D180" s="402">
        <f>SUM(D171:D179)</f>
        <v>14000</v>
      </c>
      <c r="E180" s="402">
        <f>SUM(E171:E179)</f>
        <v>14090</v>
      </c>
      <c r="F180" s="402">
        <f>SUM(F171:F179)</f>
        <v>14311.8</v>
      </c>
      <c r="G180" s="402">
        <f>SUM(G171:G179)</f>
        <v>14406.354</v>
      </c>
      <c r="H180" s="404">
        <f>SUM(H171:H179)</f>
        <v>56808.154</v>
      </c>
      <c r="I180" s="467"/>
      <c r="K180" s="466"/>
      <c r="L180" s="579" t="s">
        <v>630</v>
      </c>
      <c r="M180" s="582"/>
      <c r="N180" s="580"/>
      <c r="O180" s="557">
        <f>O50/O40</f>
        <v>0.011132349509684041</v>
      </c>
      <c r="P180" s="557">
        <f>P50/P40</f>
        <v>0.012834213410431523</v>
      </c>
      <c r="Q180" s="557">
        <f>Q50/Q40</f>
        <v>0.036474376165924936</v>
      </c>
      <c r="R180" s="583">
        <f>R50/R40</f>
        <v>0.06206789879220969</v>
      </c>
      <c r="S180" s="467"/>
    </row>
    <row r="181" spans="2:19" ht="13.5" thickBot="1">
      <c r="B181" s="466"/>
      <c r="C181" s="429" t="s">
        <v>358</v>
      </c>
      <c r="D181" s="430">
        <f>D169+D180</f>
        <v>34000</v>
      </c>
      <c r="E181" s="430">
        <f>E169+E180</f>
        <v>34270</v>
      </c>
      <c r="F181" s="430">
        <f>F169+F180</f>
        <v>34835.399999999994</v>
      </c>
      <c r="G181" s="430">
        <f>G169+G180</f>
        <v>35119.062</v>
      </c>
      <c r="H181" s="431">
        <f>SUM(D181:G181)</f>
        <v>138224.462</v>
      </c>
      <c r="I181" s="467"/>
      <c r="K181" s="466"/>
      <c r="L181" s="579" t="s">
        <v>623</v>
      </c>
      <c r="M181" s="580"/>
      <c r="N181" s="580"/>
      <c r="O181" s="558">
        <f>O40/(SUM(O75:O77)+SUM(N75:N77))/2</f>
        <v>1.9690012041098104</v>
      </c>
      <c r="P181" s="558">
        <f>P40/(SUM(P75:P77)+SUM(O75:O77))/2</f>
        <v>1.972295596417001</v>
      </c>
      <c r="Q181" s="558">
        <f>Q40/(SUM(Q75:Q77)+SUM(P75:P77))/2</f>
        <v>1.7648150176995163</v>
      </c>
      <c r="R181" s="569">
        <f>R40/(SUM(R75:R77)+SUM(Q75:Q77))/2</f>
        <v>1.3908693636412235</v>
      </c>
      <c r="S181" s="467"/>
    </row>
    <row r="182" spans="2:22" s="101" customFormat="1" ht="13.5" thickBot="1">
      <c r="B182" s="478"/>
      <c r="C182" s="432"/>
      <c r="D182" s="433"/>
      <c r="E182" s="433"/>
      <c r="F182" s="433"/>
      <c r="G182" s="433"/>
      <c r="H182" s="433"/>
      <c r="I182" s="479"/>
      <c r="J182"/>
      <c r="K182" s="466"/>
      <c r="L182" s="576"/>
      <c r="M182" s="577"/>
      <c r="N182" s="577"/>
      <c r="O182" s="570"/>
      <c r="P182" s="570"/>
      <c r="Q182" s="570"/>
      <c r="R182" s="571"/>
      <c r="S182" s="467"/>
      <c r="T182"/>
      <c r="U182"/>
      <c r="V182"/>
    </row>
    <row r="183" spans="2:22" ht="12.75">
      <c r="B183" s="466"/>
      <c r="C183" s="434" t="s">
        <v>466</v>
      </c>
      <c r="D183" s="435" t="s">
        <v>371</v>
      </c>
      <c r="E183" s="436" t="s">
        <v>370</v>
      </c>
      <c r="F183" s="20"/>
      <c r="G183" s="20"/>
      <c r="H183" s="20"/>
      <c r="I183" s="467"/>
      <c r="K183" s="466"/>
      <c r="L183" s="652" t="s">
        <v>626</v>
      </c>
      <c r="M183" s="654"/>
      <c r="N183" s="580"/>
      <c r="O183" s="559">
        <f>O50/(O78+N78)/2</f>
        <v>0.004129130336271874</v>
      </c>
      <c r="P183" s="559">
        <f>P50/(P78+O78)/2</f>
        <v>0.0029681581776604894</v>
      </c>
      <c r="Q183" s="559">
        <f>Q50/(Q78+P78)/2</f>
        <v>0.009072625983462796</v>
      </c>
      <c r="R183" s="584">
        <f>R50/(R78+Q78)/2</f>
        <v>0.015817884898237423</v>
      </c>
      <c r="S183" s="467"/>
      <c r="V183" s="101"/>
    </row>
    <row r="184" spans="2:19" ht="12.75">
      <c r="B184" s="466"/>
      <c r="C184" s="399" t="s">
        <v>465</v>
      </c>
      <c r="D184" s="437">
        <f>IF(Dados!B$80=0,0,Dados!B77/Dados!B$80)</f>
        <v>0.7</v>
      </c>
      <c r="E184" s="438">
        <f>IF(Dados!C$80=0,0,Dados!C77/Dados!C$80)</f>
        <v>0</v>
      </c>
      <c r="F184" s="20"/>
      <c r="G184" s="20"/>
      <c r="H184" s="20"/>
      <c r="I184" s="467"/>
      <c r="K184" s="466"/>
      <c r="L184" s="578" t="s">
        <v>625</v>
      </c>
      <c r="M184" s="577"/>
      <c r="N184" s="580"/>
      <c r="O184" s="67"/>
      <c r="P184" s="67"/>
      <c r="Q184" s="67"/>
      <c r="R184" s="565"/>
      <c r="S184" s="467"/>
    </row>
    <row r="185" spans="2:19" ht="12.75">
      <c r="B185" s="466"/>
      <c r="C185" s="399" t="s">
        <v>368</v>
      </c>
      <c r="D185" s="437">
        <f>IF(Dados!B$80=0,0,Dados!B78/Dados!B$80)</f>
        <v>0.15</v>
      </c>
      <c r="E185" s="438">
        <f>IF(Dados!C$80=0,0,Dados!C78/Dados!C$80)</f>
        <v>0.4</v>
      </c>
      <c r="F185" s="20"/>
      <c r="G185" s="20"/>
      <c r="H185" s="20"/>
      <c r="I185" s="467"/>
      <c r="K185" s="466"/>
      <c r="L185" s="579" t="s">
        <v>630</v>
      </c>
      <c r="M185" s="582"/>
      <c r="N185" s="580"/>
      <c r="O185" s="557">
        <f>O50/O40</f>
        <v>0.011132349509684041</v>
      </c>
      <c r="P185" s="557">
        <f>P50/P40</f>
        <v>0.012834213410431523</v>
      </c>
      <c r="Q185" s="557">
        <f>Q50/Q40</f>
        <v>0.036474376165924936</v>
      </c>
      <c r="R185" s="583">
        <f>R50/R40</f>
        <v>0.06206789879220969</v>
      </c>
      <c r="S185" s="467"/>
    </row>
    <row r="186" spans="2:19" ht="13.5" thickBot="1">
      <c r="B186" s="466"/>
      <c r="C186" s="429" t="s">
        <v>369</v>
      </c>
      <c r="D186" s="439">
        <f>IF(Dados!B$80=0,0,Dados!B79/Dados!B$80)</f>
        <v>0.15</v>
      </c>
      <c r="E186" s="440">
        <f>IF(Dados!C$80=0,0,Dados!C79/Dados!C$80)</f>
        <v>0.6</v>
      </c>
      <c r="F186" s="20"/>
      <c r="G186" s="20"/>
      <c r="H186" s="20"/>
      <c r="I186" s="467"/>
      <c r="K186" s="466"/>
      <c r="L186" s="579" t="s">
        <v>624</v>
      </c>
      <c r="M186" s="582"/>
      <c r="N186" s="580"/>
      <c r="O186" s="556">
        <f>O40/(O78+N78)/2</f>
        <v>0.3709127469165372</v>
      </c>
      <c r="P186" s="556">
        <f>P40/(P78+O78)/2</f>
        <v>0.23126919295638326</v>
      </c>
      <c r="Q186" s="556">
        <f>Q40/(Q78+P78)/2</f>
        <v>0.248739716402295</v>
      </c>
      <c r="R186" s="585">
        <f>R40/(R78+Q78)/2</f>
        <v>0.25484808098937556</v>
      </c>
      <c r="S186" s="467"/>
    </row>
    <row r="187" spans="2:22" s="101" customFormat="1" ht="13.5" thickBot="1">
      <c r="B187" s="478"/>
      <c r="C187" s="432"/>
      <c r="D187" s="433"/>
      <c r="E187" s="433"/>
      <c r="F187" s="433"/>
      <c r="G187" s="433"/>
      <c r="H187" s="433"/>
      <c r="I187" s="479"/>
      <c r="J187"/>
      <c r="K187" s="466"/>
      <c r="L187" s="576"/>
      <c r="M187" s="577"/>
      <c r="N187" s="577"/>
      <c r="O187" s="567"/>
      <c r="P187" s="567"/>
      <c r="Q187" s="567"/>
      <c r="R187" s="568"/>
      <c r="S187" s="467"/>
      <c r="T187"/>
      <c r="V187"/>
    </row>
    <row r="188" spans="2:22" ht="12.75">
      <c r="B188" s="466"/>
      <c r="C188" s="434" t="s">
        <v>408</v>
      </c>
      <c r="D188" s="81" t="str">
        <f>$D$16</f>
        <v>Trim 1</v>
      </c>
      <c r="E188" s="81" t="str">
        <f>$E$16</f>
        <v>Trim 2</v>
      </c>
      <c r="F188" s="81" t="str">
        <f>$F$16</f>
        <v>Trim 3</v>
      </c>
      <c r="G188" s="81" t="str">
        <f>$G$16</f>
        <v>Trim 4</v>
      </c>
      <c r="H188" s="461" t="s">
        <v>20</v>
      </c>
      <c r="I188" s="467"/>
      <c r="K188" s="466"/>
      <c r="L188" s="581" t="s">
        <v>632</v>
      </c>
      <c r="M188" s="580"/>
      <c r="N188" s="580"/>
      <c r="O188" s="67"/>
      <c r="P188" s="67"/>
      <c r="Q188" s="67"/>
      <c r="R188" s="77"/>
      <c r="S188" s="467"/>
      <c r="V188" s="101"/>
    </row>
    <row r="189" spans="2:19" ht="12.75">
      <c r="B189" s="466"/>
      <c r="C189" s="399" t="s">
        <v>359</v>
      </c>
      <c r="D189" s="411"/>
      <c r="E189" s="411"/>
      <c r="F189" s="411"/>
      <c r="G189" s="411"/>
      <c r="H189" s="417"/>
      <c r="I189" s="467"/>
      <c r="K189" s="466"/>
      <c r="L189" s="652" t="s">
        <v>626</v>
      </c>
      <c r="M189" s="653"/>
      <c r="N189" s="575"/>
      <c r="O189" s="559">
        <f>O183</f>
        <v>0.004129130336271874</v>
      </c>
      <c r="P189" s="559">
        <f>P183</f>
        <v>0.0029681581776604894</v>
      </c>
      <c r="Q189" s="559">
        <f>Q183</f>
        <v>0.009072625983462796</v>
      </c>
      <c r="R189" s="572">
        <f>R183</f>
        <v>0.015817884898237423</v>
      </c>
      <c r="S189" s="467"/>
    </row>
    <row r="190" spans="2:19" ht="12.75">
      <c r="B190" s="466"/>
      <c r="C190" s="416" t="s">
        <v>360</v>
      </c>
      <c r="D190" s="423">
        <f>D$169*$D184</f>
        <v>14000</v>
      </c>
      <c r="E190" s="423">
        <f>E$169*$D184</f>
        <v>14126</v>
      </c>
      <c r="F190" s="423">
        <f>F$169*$D184</f>
        <v>14366.519999999999</v>
      </c>
      <c r="G190" s="423">
        <f>G$169*$D184</f>
        <v>14498.895599999998</v>
      </c>
      <c r="H190" s="446">
        <f>SUM(D190:G190)</f>
        <v>56991.41559999999</v>
      </c>
      <c r="I190" s="467"/>
      <c r="K190" s="478"/>
      <c r="L190" s="652" t="s">
        <v>629</v>
      </c>
      <c r="M190" s="653"/>
      <c r="N190" s="575"/>
      <c r="O190" s="556">
        <f>(O78+N78)/2/((SUM(O75:O77)+SUM(N75:N77))/2)</f>
        <v>5.308529352195262</v>
      </c>
      <c r="P190" s="556">
        <f>(P78+O78)/2/((SUM(P75:P77)+SUM(O75:O77))/2)</f>
        <v>8.52813801615579</v>
      </c>
      <c r="Q190" s="556">
        <f>(Q78+P78)/2/((SUM(Q75:Q77)+SUM(P75:P77))/2)</f>
        <v>7.095027055692315</v>
      </c>
      <c r="R190" s="566">
        <f>(R78+Q78)/2/((SUM(R75:R77)+SUM(Q75:Q77))/2)</f>
        <v>5.4576411101137845</v>
      </c>
      <c r="S190" s="467"/>
    </row>
    <row r="191" spans="2:19" ht="13.5" thickBot="1">
      <c r="B191" s="466"/>
      <c r="C191" s="416" t="s">
        <v>361</v>
      </c>
      <c r="D191" s="423">
        <f aca="true" t="shared" si="28" ref="D191:G192">D$169*$D185</f>
        <v>3000</v>
      </c>
      <c r="E191" s="423">
        <f t="shared" si="28"/>
        <v>3027</v>
      </c>
      <c r="F191" s="423">
        <f t="shared" si="28"/>
        <v>3078.5399999999995</v>
      </c>
      <c r="G191" s="423">
        <f t="shared" si="28"/>
        <v>3106.9062</v>
      </c>
      <c r="H191" s="446">
        <f>SUM(D191:G191)</f>
        <v>12212.446199999998</v>
      </c>
      <c r="I191" s="467"/>
      <c r="J191" s="101"/>
      <c r="K191" s="466"/>
      <c r="L191" s="650" t="s">
        <v>627</v>
      </c>
      <c r="M191" s="651"/>
      <c r="N191" s="602"/>
      <c r="O191" s="603">
        <f>O189*O190</f>
        <v>0.021919609589139136</v>
      </c>
      <c r="P191" s="603">
        <f>P189*P190</f>
        <v>0.02531286259287011</v>
      </c>
      <c r="Q191" s="603">
        <f>Q189*Q190</f>
        <v>0.06437052681884564</v>
      </c>
      <c r="R191" s="598">
        <f>R189*R190</f>
        <v>0.08632833889566856</v>
      </c>
      <c r="S191" s="467"/>
    </row>
    <row r="192" spans="2:21" ht="12.75">
      <c r="B192" s="466"/>
      <c r="C192" s="416" t="s">
        <v>362</v>
      </c>
      <c r="D192" s="423">
        <f t="shared" si="28"/>
        <v>3000</v>
      </c>
      <c r="E192" s="423">
        <f t="shared" si="28"/>
        <v>3027</v>
      </c>
      <c r="F192" s="423">
        <f t="shared" si="28"/>
        <v>3078.5399999999995</v>
      </c>
      <c r="G192" s="423">
        <f t="shared" si="28"/>
        <v>3106.9062</v>
      </c>
      <c r="H192" s="446">
        <f>SUM(D192:G192)</f>
        <v>12212.446199999998</v>
      </c>
      <c r="I192" s="467"/>
      <c r="K192" s="466"/>
      <c r="L192" s="563"/>
      <c r="M192" s="564"/>
      <c r="N192" s="564"/>
      <c r="O192" s="564"/>
      <c r="P192" s="564"/>
      <c r="Q192" s="564"/>
      <c r="R192" s="565"/>
      <c r="S192" s="467"/>
      <c r="U192" s="101"/>
    </row>
    <row r="193" spans="2:19" ht="12.75">
      <c r="B193" s="466"/>
      <c r="C193" s="416" t="s">
        <v>363</v>
      </c>
      <c r="D193" s="424">
        <f>SUM(D190:D192)</f>
        <v>20000</v>
      </c>
      <c r="E193" s="424">
        <f>SUM(E190:E192)</f>
        <v>20180</v>
      </c>
      <c r="F193" s="424">
        <f>SUM(F190:F192)</f>
        <v>20523.6</v>
      </c>
      <c r="G193" s="424">
        <f>SUM(G190:G192)</f>
        <v>20712.708</v>
      </c>
      <c r="H193" s="446">
        <f>SUM(D193:G193)</f>
        <v>81416.30799999999</v>
      </c>
      <c r="I193" s="467"/>
      <c r="K193" s="466"/>
      <c r="L193" s="563"/>
      <c r="M193" s="564"/>
      <c r="N193" s="564"/>
      <c r="O193" s="564"/>
      <c r="P193" s="564"/>
      <c r="Q193" s="564"/>
      <c r="R193" s="565"/>
      <c r="S193" s="467"/>
    </row>
    <row r="194" spans="2:19" ht="13.5" thickBot="1">
      <c r="B194" s="466"/>
      <c r="C194" s="399" t="s">
        <v>364</v>
      </c>
      <c r="D194" s="423"/>
      <c r="E194" s="423"/>
      <c r="F194" s="423"/>
      <c r="G194" s="423"/>
      <c r="H194" s="444"/>
      <c r="I194" s="467"/>
      <c r="K194" s="466"/>
      <c r="L194" s="237"/>
      <c r="M194" s="573"/>
      <c r="N194" s="573"/>
      <c r="O194" s="573"/>
      <c r="P194" s="573"/>
      <c r="Q194" s="573"/>
      <c r="R194" s="574"/>
      <c r="S194" s="467"/>
    </row>
    <row r="195" spans="2:19" ht="13.5" thickBot="1">
      <c r="B195" s="466"/>
      <c r="C195" s="416" t="s">
        <v>360</v>
      </c>
      <c r="D195" s="423">
        <f>D$180*$E184</f>
        <v>0</v>
      </c>
      <c r="E195" s="423">
        <f>E$180*$E184</f>
        <v>0</v>
      </c>
      <c r="F195" s="423">
        <f>F$180*$E184</f>
        <v>0</v>
      </c>
      <c r="G195" s="423">
        <f>G$180*$E184</f>
        <v>0</v>
      </c>
      <c r="H195" s="446">
        <f>SUM(D195:G195)</f>
        <v>0</v>
      </c>
      <c r="I195" s="467"/>
      <c r="K195" s="473"/>
      <c r="L195" s="601"/>
      <c r="M195" s="471"/>
      <c r="N195" s="601"/>
      <c r="O195" s="471"/>
      <c r="P195" s="601"/>
      <c r="Q195" s="601"/>
      <c r="R195" s="601"/>
      <c r="S195" s="475"/>
    </row>
    <row r="196" spans="2:10" ht="12.75">
      <c r="B196" s="466"/>
      <c r="C196" s="416" t="s">
        <v>361</v>
      </c>
      <c r="D196" s="423">
        <f aca="true" t="shared" si="29" ref="D196:G197">D$180*$E185</f>
        <v>5600</v>
      </c>
      <c r="E196" s="423">
        <f t="shared" si="29"/>
        <v>5636</v>
      </c>
      <c r="F196" s="423">
        <f t="shared" si="29"/>
        <v>5724.72</v>
      </c>
      <c r="G196" s="423">
        <f t="shared" si="29"/>
        <v>5762.5416000000005</v>
      </c>
      <c r="H196" s="446">
        <f>SUM(D196:G196)</f>
        <v>22723.2616</v>
      </c>
      <c r="I196" s="467"/>
      <c r="J196" s="101"/>
    </row>
    <row r="197" spans="2:9" ht="12.75">
      <c r="B197" s="466"/>
      <c r="C197" s="416" t="s">
        <v>362</v>
      </c>
      <c r="D197" s="423">
        <f t="shared" si="29"/>
        <v>8400</v>
      </c>
      <c r="E197" s="423">
        <f t="shared" si="29"/>
        <v>8454</v>
      </c>
      <c r="F197" s="423">
        <f t="shared" si="29"/>
        <v>8587.08</v>
      </c>
      <c r="G197" s="423">
        <f t="shared" si="29"/>
        <v>8643.812399999999</v>
      </c>
      <c r="H197" s="446">
        <f>SUM(D197:G197)</f>
        <v>34084.8924</v>
      </c>
      <c r="I197" s="467"/>
    </row>
    <row r="198" spans="2:9" ht="12.75">
      <c r="B198" s="466"/>
      <c r="C198" s="416" t="s">
        <v>363</v>
      </c>
      <c r="D198" s="424">
        <f>SUM(D195:D197)</f>
        <v>14000</v>
      </c>
      <c r="E198" s="424">
        <f>SUM(E195:E197)</f>
        <v>14090</v>
      </c>
      <c r="F198" s="424">
        <f>SUM(F195:F197)</f>
        <v>14311.8</v>
      </c>
      <c r="G198" s="424">
        <f>SUM(G195:G197)</f>
        <v>14406.354</v>
      </c>
      <c r="H198" s="446">
        <f>SUM(D198:G198)</f>
        <v>56808.154</v>
      </c>
      <c r="I198" s="467"/>
    </row>
    <row r="199" spans="2:9" ht="12.75">
      <c r="B199" s="466"/>
      <c r="C199" s="399" t="s">
        <v>365</v>
      </c>
      <c r="D199" s="423"/>
      <c r="E199" s="423"/>
      <c r="F199" s="423"/>
      <c r="G199" s="423"/>
      <c r="H199" s="444"/>
      <c r="I199" s="467"/>
    </row>
    <row r="200" spans="2:9" ht="12.75">
      <c r="B200" s="466"/>
      <c r="C200" s="399" t="s">
        <v>360</v>
      </c>
      <c r="D200" s="423">
        <f>D190+D195</f>
        <v>14000</v>
      </c>
      <c r="E200" s="423">
        <f>E190+E195</f>
        <v>14126</v>
      </c>
      <c r="F200" s="423">
        <f>F190+F195</f>
        <v>14366.519999999999</v>
      </c>
      <c r="G200" s="423">
        <f>G190+G195</f>
        <v>14498.895599999998</v>
      </c>
      <c r="H200" s="446">
        <f>H190+H195</f>
        <v>56991.41559999999</v>
      </c>
      <c r="I200" s="467"/>
    </row>
    <row r="201" spans="2:9" ht="12.75">
      <c r="B201" s="466"/>
      <c r="C201" s="399" t="s">
        <v>361</v>
      </c>
      <c r="D201" s="423">
        <f aca="true" t="shared" si="30" ref="D201:G202">D191+D196</f>
        <v>8600</v>
      </c>
      <c r="E201" s="423">
        <f t="shared" si="30"/>
        <v>8663</v>
      </c>
      <c r="F201" s="423">
        <f t="shared" si="30"/>
        <v>8803.26</v>
      </c>
      <c r="G201" s="423">
        <f t="shared" si="30"/>
        <v>8869.4478</v>
      </c>
      <c r="H201" s="446">
        <f>H191+H196</f>
        <v>34935.707800000004</v>
      </c>
      <c r="I201" s="467"/>
    </row>
    <row r="202" spans="2:9" ht="12.75">
      <c r="B202" s="466"/>
      <c r="C202" s="399" t="s">
        <v>362</v>
      </c>
      <c r="D202" s="423">
        <f t="shared" si="30"/>
        <v>11400</v>
      </c>
      <c r="E202" s="423">
        <f t="shared" si="30"/>
        <v>11481</v>
      </c>
      <c r="F202" s="423">
        <f t="shared" si="30"/>
        <v>11665.619999999999</v>
      </c>
      <c r="G202" s="423">
        <f t="shared" si="30"/>
        <v>11750.718599999998</v>
      </c>
      <c r="H202" s="446">
        <f>H192+H197</f>
        <v>46297.338599999995</v>
      </c>
      <c r="I202" s="467"/>
    </row>
    <row r="203" spans="2:9" ht="12.75">
      <c r="B203" s="466"/>
      <c r="C203" s="399" t="s">
        <v>363</v>
      </c>
      <c r="D203" s="424">
        <f>SUM(D200:D202)</f>
        <v>34000</v>
      </c>
      <c r="E203" s="424">
        <f>SUM(E200:E202)</f>
        <v>34270</v>
      </c>
      <c r="F203" s="424">
        <f>SUM(F200:F202)</f>
        <v>34835.399999999994</v>
      </c>
      <c r="G203" s="424">
        <f>SUM(G200:G202)</f>
        <v>35119.062</v>
      </c>
      <c r="H203" s="446">
        <f>SUM(D203:G203)</f>
        <v>138224.462</v>
      </c>
      <c r="I203" s="467"/>
    </row>
    <row r="204" spans="2:9" ht="13.5" thickBot="1">
      <c r="B204" s="466"/>
      <c r="C204" s="419"/>
      <c r="D204" s="407"/>
      <c r="E204" s="407"/>
      <c r="F204" s="407"/>
      <c r="G204" s="407"/>
      <c r="H204" s="420"/>
      <c r="I204" s="467"/>
    </row>
    <row r="205" spans="2:9" ht="13.5" thickBot="1">
      <c r="B205" s="466"/>
      <c r="C205" s="20"/>
      <c r="D205" s="20"/>
      <c r="E205" s="20"/>
      <c r="F205" s="20"/>
      <c r="G205" s="20"/>
      <c r="H205" s="20"/>
      <c r="I205" s="467"/>
    </row>
    <row r="206" spans="2:9" ht="12.75">
      <c r="B206" s="466"/>
      <c r="C206" s="434" t="s">
        <v>385</v>
      </c>
      <c r="D206" s="443" t="s">
        <v>387</v>
      </c>
      <c r="E206" s="447"/>
      <c r="F206" s="20"/>
      <c r="G206" s="20"/>
      <c r="H206" s="20"/>
      <c r="I206" s="467"/>
    </row>
    <row r="207" spans="2:9" ht="12.75">
      <c r="B207" s="466"/>
      <c r="C207" s="416"/>
      <c r="D207" s="442" t="s">
        <v>388</v>
      </c>
      <c r="E207" s="406" t="s">
        <v>389</v>
      </c>
      <c r="F207" s="20"/>
      <c r="G207" s="20"/>
      <c r="H207" s="20"/>
      <c r="I207" s="467"/>
    </row>
    <row r="208" spans="2:9" ht="12.75">
      <c r="B208" s="466"/>
      <c r="C208" s="416"/>
      <c r="D208" s="442" t="s">
        <v>390</v>
      </c>
      <c r="E208" s="406" t="s">
        <v>391</v>
      </c>
      <c r="F208" s="20"/>
      <c r="G208" s="20"/>
      <c r="H208" s="20"/>
      <c r="I208" s="467"/>
    </row>
    <row r="209" spans="2:9" ht="12.75">
      <c r="B209" s="466"/>
      <c r="C209" s="399" t="s">
        <v>392</v>
      </c>
      <c r="D209" s="405"/>
      <c r="E209" s="406"/>
      <c r="F209" s="20"/>
      <c r="G209" s="20"/>
      <c r="H209" s="20"/>
      <c r="I209" s="467"/>
    </row>
    <row r="210" spans="2:9" ht="12.75">
      <c r="B210" s="466"/>
      <c r="C210" s="416" t="s">
        <v>393</v>
      </c>
      <c r="D210" s="427">
        <f>Dados!B88</f>
        <v>2000</v>
      </c>
      <c r="E210" s="450">
        <f>Dados!C88</f>
        <v>0</v>
      </c>
      <c r="F210" s="20"/>
      <c r="G210" s="20"/>
      <c r="H210" s="20"/>
      <c r="I210" s="467"/>
    </row>
    <row r="211" spans="2:9" ht="12.75">
      <c r="B211" s="466"/>
      <c r="C211" s="416" t="s">
        <v>394</v>
      </c>
      <c r="D211" s="427">
        <f>Dados!B89</f>
        <v>0</v>
      </c>
      <c r="E211" s="450">
        <f>Dados!C89</f>
        <v>0</v>
      </c>
      <c r="F211" s="20"/>
      <c r="G211" s="20"/>
      <c r="H211" s="20"/>
      <c r="I211" s="467"/>
    </row>
    <row r="212" spans="2:9" ht="12.75">
      <c r="B212" s="466"/>
      <c r="C212" s="416" t="s">
        <v>395</v>
      </c>
      <c r="D212" s="427">
        <f>Dados!B90</f>
        <v>10000</v>
      </c>
      <c r="E212" s="450">
        <f>Dados!C90</f>
        <v>0</v>
      </c>
      <c r="F212" s="20"/>
      <c r="G212" s="20"/>
      <c r="H212" s="20"/>
      <c r="I212" s="467"/>
    </row>
    <row r="213" spans="2:9" ht="12.75">
      <c r="B213" s="466"/>
      <c r="C213" s="416" t="s">
        <v>396</v>
      </c>
      <c r="D213" s="427">
        <f>Dados!B91</f>
        <v>12000</v>
      </c>
      <c r="E213" s="450">
        <f>Dados!C91</f>
        <v>0</v>
      </c>
      <c r="F213" s="20"/>
      <c r="G213" s="20"/>
      <c r="H213" s="20"/>
      <c r="I213" s="467"/>
    </row>
    <row r="214" spans="2:9" ht="12.75">
      <c r="B214" s="466"/>
      <c r="C214" s="416" t="s">
        <v>397</v>
      </c>
      <c r="D214" s="427">
        <f>Dados!B92</f>
        <v>900</v>
      </c>
      <c r="E214" s="450">
        <f>Dados!C92</f>
        <v>1.86</v>
      </c>
      <c r="F214" s="20"/>
      <c r="G214" s="20"/>
      <c r="H214" s="20"/>
      <c r="I214" s="467"/>
    </row>
    <row r="215" spans="2:9" ht="12.75">
      <c r="B215" s="466"/>
      <c r="C215" s="416" t="s">
        <v>398</v>
      </c>
      <c r="D215" s="427">
        <f>Dados!B93</f>
        <v>370</v>
      </c>
      <c r="E215" s="450">
        <f>Dados!C93</f>
        <v>0.93</v>
      </c>
      <c r="F215" s="20"/>
      <c r="G215" s="20"/>
      <c r="H215" s="20"/>
      <c r="I215" s="467"/>
    </row>
    <row r="216" spans="2:9" ht="12.75">
      <c r="B216" s="466"/>
      <c r="C216" s="416" t="s">
        <v>399</v>
      </c>
      <c r="D216" s="427">
        <f>Dados!B94</f>
        <v>0</v>
      </c>
      <c r="E216" s="450">
        <f>Dados!C94</f>
        <v>0</v>
      </c>
      <c r="F216" s="20"/>
      <c r="G216" s="20"/>
      <c r="H216" s="20"/>
      <c r="I216" s="467"/>
    </row>
    <row r="217" spans="2:9" ht="12.75">
      <c r="B217" s="466"/>
      <c r="C217" s="416" t="s">
        <v>400</v>
      </c>
      <c r="D217" s="427">
        <f>Dados!B95</f>
        <v>0</v>
      </c>
      <c r="E217" s="450">
        <f>Dados!C95</f>
        <v>0</v>
      </c>
      <c r="F217" s="20"/>
      <c r="G217" s="20"/>
      <c r="H217" s="20"/>
      <c r="I217" s="467"/>
    </row>
    <row r="218" spans="2:9" ht="12.75">
      <c r="B218" s="466"/>
      <c r="C218" s="416" t="s">
        <v>401</v>
      </c>
      <c r="D218" s="427">
        <f>Dados!B96</f>
        <v>0</v>
      </c>
      <c r="E218" s="450">
        <f>Dados!C96</f>
        <v>0</v>
      </c>
      <c r="F218" s="20"/>
      <c r="G218" s="20"/>
      <c r="H218" s="20"/>
      <c r="I218" s="467"/>
    </row>
    <row r="219" spans="2:9" ht="12.75">
      <c r="B219" s="466"/>
      <c r="C219" s="416" t="s">
        <v>402</v>
      </c>
      <c r="D219" s="427">
        <f>Dados!B97</f>
        <v>0</v>
      </c>
      <c r="E219" s="450">
        <f>Dados!C97</f>
        <v>0</v>
      </c>
      <c r="F219" s="20"/>
      <c r="G219" s="20"/>
      <c r="H219" s="20"/>
      <c r="I219" s="467"/>
    </row>
    <row r="220" spans="2:9" ht="12.75">
      <c r="B220" s="466"/>
      <c r="C220" s="416" t="s">
        <v>403</v>
      </c>
      <c r="D220" s="427">
        <f>Dados!B98</f>
        <v>190</v>
      </c>
      <c r="E220" s="450">
        <f>Dados!C98</f>
        <v>1.45</v>
      </c>
      <c r="F220" s="20"/>
      <c r="G220" s="20"/>
      <c r="H220" s="20"/>
      <c r="I220" s="467"/>
    </row>
    <row r="221" spans="2:9" ht="12.75">
      <c r="B221" s="466"/>
      <c r="C221" s="416" t="s">
        <v>404</v>
      </c>
      <c r="D221" s="427">
        <f>Dados!B99</f>
        <v>190</v>
      </c>
      <c r="E221" s="450">
        <f>Dados!C99</f>
        <v>0</v>
      </c>
      <c r="F221" s="20"/>
      <c r="G221" s="20"/>
      <c r="H221" s="20"/>
      <c r="I221" s="467"/>
    </row>
    <row r="222" spans="2:9" ht="12.75">
      <c r="B222" s="466"/>
      <c r="C222" s="416" t="s">
        <v>405</v>
      </c>
      <c r="D222" s="427">
        <f>Dados!B100</f>
        <v>280</v>
      </c>
      <c r="E222" s="450">
        <f>Dados!C100</f>
        <v>0</v>
      </c>
      <c r="F222" s="20"/>
      <c r="G222" s="20"/>
      <c r="H222" s="20"/>
      <c r="I222" s="467"/>
    </row>
    <row r="223" spans="2:9" ht="12.75">
      <c r="B223" s="466"/>
      <c r="C223" s="416"/>
      <c r="D223" s="405"/>
      <c r="E223" s="448"/>
      <c r="F223" s="20"/>
      <c r="G223" s="20"/>
      <c r="H223" s="20"/>
      <c r="I223" s="467"/>
    </row>
    <row r="224" spans="2:9" ht="12.75">
      <c r="B224" s="466"/>
      <c r="C224" s="399" t="s">
        <v>344</v>
      </c>
      <c r="D224" s="408" t="s">
        <v>406</v>
      </c>
      <c r="E224" s="449"/>
      <c r="F224" s="20"/>
      <c r="G224" s="20"/>
      <c r="H224" s="20"/>
      <c r="I224" s="467"/>
    </row>
    <row r="225" spans="2:9" ht="12.75">
      <c r="B225" s="466"/>
      <c r="C225" s="416"/>
      <c r="D225" s="442" t="s">
        <v>388</v>
      </c>
      <c r="E225" s="406" t="s">
        <v>389</v>
      </c>
      <c r="F225" s="20"/>
      <c r="G225" s="20"/>
      <c r="H225" s="20"/>
      <c r="I225" s="467"/>
    </row>
    <row r="226" spans="2:25" ht="12.75">
      <c r="B226" s="466"/>
      <c r="C226" s="416"/>
      <c r="D226" s="442" t="s">
        <v>390</v>
      </c>
      <c r="E226" s="406" t="s">
        <v>391</v>
      </c>
      <c r="F226" s="20"/>
      <c r="G226" s="20"/>
      <c r="H226" s="20"/>
      <c r="I226" s="467"/>
      <c r="W226" s="17"/>
      <c r="X226" s="17"/>
      <c r="Y226" s="17"/>
    </row>
    <row r="227" spans="2:22" ht="12.75">
      <c r="B227" s="466"/>
      <c r="C227" s="399" t="s">
        <v>407</v>
      </c>
      <c r="D227" s="405"/>
      <c r="E227" s="406"/>
      <c r="F227" s="20"/>
      <c r="G227" s="20"/>
      <c r="H227" s="20"/>
      <c r="I227" s="467"/>
      <c r="V227" s="17"/>
    </row>
    <row r="228" spans="2:30" ht="12.75">
      <c r="B228" s="466"/>
      <c r="C228" s="416" t="s">
        <v>393</v>
      </c>
      <c r="D228" s="427">
        <f>Dados!D88</f>
        <v>2000</v>
      </c>
      <c r="E228" s="450">
        <f>Dados!E88</f>
        <v>0</v>
      </c>
      <c r="F228" s="20"/>
      <c r="G228" s="20"/>
      <c r="H228" s="20"/>
      <c r="I228" s="467"/>
      <c r="AC228" s="101"/>
      <c r="AD228" s="101"/>
    </row>
    <row r="229" spans="2:9" ht="12.75">
      <c r="B229" s="466"/>
      <c r="C229" s="416" t="s">
        <v>394</v>
      </c>
      <c r="D229" s="427">
        <f>Dados!D89</f>
        <v>0</v>
      </c>
      <c r="E229" s="450">
        <f>Dados!E89</f>
        <v>0</v>
      </c>
      <c r="F229" s="20"/>
      <c r="G229" s="20"/>
      <c r="H229" s="20"/>
      <c r="I229" s="467"/>
    </row>
    <row r="230" spans="2:9" ht="12.75">
      <c r="B230" s="466"/>
      <c r="C230" s="416" t="s">
        <v>395</v>
      </c>
      <c r="D230" s="427">
        <f>Dados!D90</f>
        <v>4000</v>
      </c>
      <c r="E230" s="450">
        <f>Dados!E90</f>
        <v>102.5</v>
      </c>
      <c r="F230" s="20"/>
      <c r="G230" s="20"/>
      <c r="H230" s="20"/>
      <c r="I230" s="467"/>
    </row>
    <row r="231" spans="2:9" ht="12.75">
      <c r="B231" s="466"/>
      <c r="C231" s="416" t="s">
        <v>396</v>
      </c>
      <c r="D231" s="427">
        <f>Dados!D91</f>
        <v>6000</v>
      </c>
      <c r="E231" s="450">
        <f>Dados!E91</f>
        <v>51.25</v>
      </c>
      <c r="F231" s="20"/>
      <c r="G231" s="20"/>
      <c r="H231" s="20"/>
      <c r="I231" s="467"/>
    </row>
    <row r="232" spans="2:9" ht="12.75">
      <c r="B232" s="466"/>
      <c r="C232" s="416" t="s">
        <v>397</v>
      </c>
      <c r="D232" s="427">
        <f>Dados!D92</f>
        <v>0</v>
      </c>
      <c r="E232" s="450">
        <f>Dados!E92</f>
        <v>0</v>
      </c>
      <c r="F232" s="20"/>
      <c r="G232" s="20"/>
      <c r="H232" s="20"/>
      <c r="I232" s="467"/>
    </row>
    <row r="233" spans="2:30" ht="12.75">
      <c r="B233" s="466"/>
      <c r="C233" s="416" t="s">
        <v>398</v>
      </c>
      <c r="D233" s="427">
        <f>Dados!D93</f>
        <v>0</v>
      </c>
      <c r="E233" s="450">
        <f>Dados!E93</f>
        <v>0</v>
      </c>
      <c r="F233" s="20"/>
      <c r="G233" s="20"/>
      <c r="H233" s="20"/>
      <c r="I233" s="467"/>
      <c r="AC233" s="101"/>
      <c r="AD233" s="101"/>
    </row>
    <row r="234" spans="2:9" ht="12.75">
      <c r="B234" s="466"/>
      <c r="C234" s="416" t="s">
        <v>399</v>
      </c>
      <c r="D234" s="427">
        <f>Dados!D94</f>
        <v>0</v>
      </c>
      <c r="E234" s="450">
        <f>Dados!E94</f>
        <v>0</v>
      </c>
      <c r="F234" s="20"/>
      <c r="G234" s="20"/>
      <c r="H234" s="20"/>
      <c r="I234" s="467"/>
    </row>
    <row r="235" spans="2:9" ht="12.75">
      <c r="B235" s="466"/>
      <c r="C235" s="416" t="s">
        <v>400</v>
      </c>
      <c r="D235" s="427">
        <f>Dados!D95</f>
        <v>2325</v>
      </c>
      <c r="E235" s="450">
        <f>Dados!E95</f>
        <v>7.22</v>
      </c>
      <c r="F235" s="20"/>
      <c r="G235" s="20"/>
      <c r="H235" s="20"/>
      <c r="I235" s="467"/>
    </row>
    <row r="236" spans="2:9" ht="12.75">
      <c r="B236" s="466"/>
      <c r="C236" s="416" t="s">
        <v>401</v>
      </c>
      <c r="D236" s="427">
        <f>Dados!D96</f>
        <v>0</v>
      </c>
      <c r="E236" s="450">
        <f>Dados!E96</f>
        <v>0</v>
      </c>
      <c r="F236" s="20"/>
      <c r="G236" s="20"/>
      <c r="H236" s="20"/>
      <c r="I236" s="467"/>
    </row>
    <row r="237" spans="2:9" ht="12.75">
      <c r="B237" s="466"/>
      <c r="C237" s="416" t="s">
        <v>402</v>
      </c>
      <c r="D237" s="427">
        <f>Dados!D97</f>
        <v>4190</v>
      </c>
      <c r="E237" s="450">
        <f>Dados!E97</f>
        <v>24.65</v>
      </c>
      <c r="F237" s="20"/>
      <c r="G237" s="20"/>
      <c r="H237" s="20"/>
      <c r="I237" s="467"/>
    </row>
    <row r="238" spans="2:9" ht="12.75">
      <c r="B238" s="466"/>
      <c r="C238" s="416" t="s">
        <v>403</v>
      </c>
      <c r="D238" s="427">
        <f>Dados!D98</f>
        <v>0</v>
      </c>
      <c r="E238" s="450">
        <f>Dados!E98</f>
        <v>0</v>
      </c>
      <c r="F238" s="20"/>
      <c r="G238" s="20"/>
      <c r="H238" s="20"/>
      <c r="I238" s="467"/>
    </row>
    <row r="239" spans="2:9" ht="12.75">
      <c r="B239" s="466"/>
      <c r="C239" s="416" t="s">
        <v>404</v>
      </c>
      <c r="D239" s="427">
        <f>Dados!D99</f>
        <v>900</v>
      </c>
      <c r="E239" s="450">
        <f>Dados!E99</f>
        <v>0</v>
      </c>
      <c r="F239" s="20"/>
      <c r="G239" s="20"/>
      <c r="H239" s="20"/>
      <c r="I239" s="467"/>
    </row>
    <row r="240" spans="2:9" ht="12.75">
      <c r="B240" s="466"/>
      <c r="C240" s="416" t="s">
        <v>405</v>
      </c>
      <c r="D240" s="427">
        <f>Dados!D100</f>
        <v>1395</v>
      </c>
      <c r="E240" s="450">
        <f>Dados!E100</f>
        <v>0</v>
      </c>
      <c r="F240" s="20"/>
      <c r="G240" s="20"/>
      <c r="H240" s="20"/>
      <c r="I240" s="467"/>
    </row>
    <row r="241" spans="2:9" ht="13.5" thickBot="1">
      <c r="B241" s="466"/>
      <c r="C241" s="419"/>
      <c r="D241" s="407"/>
      <c r="E241" s="420"/>
      <c r="F241" s="20"/>
      <c r="G241" s="20"/>
      <c r="H241" s="20"/>
      <c r="I241" s="467"/>
    </row>
    <row r="242" spans="2:28" ht="13.5" thickBot="1">
      <c r="B242" s="466"/>
      <c r="C242" s="397"/>
      <c r="D242" s="398"/>
      <c r="E242" s="398"/>
      <c r="F242" s="20"/>
      <c r="G242" s="20"/>
      <c r="H242" s="20"/>
      <c r="I242" s="467"/>
      <c r="AA242" s="101"/>
      <c r="AB242" s="101"/>
    </row>
    <row r="243" spans="2:9" ht="12.75">
      <c r="B243" s="466"/>
      <c r="C243" s="421" t="s">
        <v>385</v>
      </c>
      <c r="D243" s="81" t="str">
        <f>$D$16</f>
        <v>Trim 1</v>
      </c>
      <c r="E243" s="81" t="str">
        <f>$E$16</f>
        <v>Trim 2</v>
      </c>
      <c r="F243" s="81" t="str">
        <f>$F$16</f>
        <v>Trim 3</v>
      </c>
      <c r="G243" s="81" t="str">
        <f>$G$16</f>
        <v>Trim 4</v>
      </c>
      <c r="H243" s="462" t="s">
        <v>20</v>
      </c>
      <c r="I243" s="467"/>
    </row>
    <row r="244" spans="2:26" ht="12.75">
      <c r="B244" s="466"/>
      <c r="C244" s="422" t="s">
        <v>459</v>
      </c>
      <c r="D244" s="410"/>
      <c r="E244" s="410"/>
      <c r="F244" s="410"/>
      <c r="G244" s="410"/>
      <c r="H244" s="415"/>
      <c r="I244" s="467"/>
      <c r="W244" s="17"/>
      <c r="X244" s="17"/>
      <c r="Y244" s="17"/>
      <c r="Z244" s="17"/>
    </row>
    <row r="245" spans="2:22" ht="12.75">
      <c r="B245" s="466"/>
      <c r="C245" s="399" t="s">
        <v>409</v>
      </c>
      <c r="D245" s="411"/>
      <c r="E245" s="411"/>
      <c r="F245" s="411"/>
      <c r="G245" s="412"/>
      <c r="H245" s="417"/>
      <c r="I245" s="467"/>
      <c r="V245" s="17"/>
    </row>
    <row r="246" spans="2:9" ht="12.75">
      <c r="B246" s="466"/>
      <c r="C246" s="399" t="s">
        <v>344</v>
      </c>
      <c r="D246" s="400"/>
      <c r="E246" s="400"/>
      <c r="F246" s="400"/>
      <c r="G246" s="400"/>
      <c r="H246" s="401"/>
      <c r="I246" s="467"/>
    </row>
    <row r="247" spans="2:28" ht="12.75">
      <c r="B247" s="466"/>
      <c r="C247" s="399" t="s">
        <v>372</v>
      </c>
      <c r="D247" s="405"/>
      <c r="E247" s="405"/>
      <c r="F247" s="405"/>
      <c r="G247" s="405"/>
      <c r="H247" s="406"/>
      <c r="I247" s="467"/>
      <c r="AA247" s="101"/>
      <c r="AB247" s="101"/>
    </row>
    <row r="248" spans="2:9" ht="12.75">
      <c r="B248" s="466"/>
      <c r="C248" s="416" t="s">
        <v>386</v>
      </c>
      <c r="D248" s="423">
        <f>$D210*3*(1+D$157)</f>
        <v>6000</v>
      </c>
      <c r="E248" s="423">
        <f aca="true" t="shared" si="31" ref="E248:G251">D248*(1+E$157)</f>
        <v>6120</v>
      </c>
      <c r="F248" s="423">
        <f t="shared" si="31"/>
        <v>6120</v>
      </c>
      <c r="G248" s="423">
        <f t="shared" si="31"/>
        <v>6120</v>
      </c>
      <c r="H248" s="446">
        <f>SUM(D248:G248)</f>
        <v>24360</v>
      </c>
      <c r="I248" s="467"/>
    </row>
    <row r="249" spans="2:9" ht="12.75">
      <c r="B249" s="466"/>
      <c r="C249" s="416" t="s">
        <v>410</v>
      </c>
      <c r="D249" s="423">
        <f>$D211*3*(1+D$157)</f>
        <v>0</v>
      </c>
      <c r="E249" s="423">
        <f t="shared" si="31"/>
        <v>0</v>
      </c>
      <c r="F249" s="423">
        <f t="shared" si="31"/>
        <v>0</v>
      </c>
      <c r="G249" s="423">
        <f t="shared" si="31"/>
        <v>0</v>
      </c>
      <c r="H249" s="446">
        <f aca="true" t="shared" si="32" ref="H249:H261">SUM(D249:G249)</f>
        <v>0</v>
      </c>
      <c r="I249" s="467"/>
    </row>
    <row r="250" spans="2:9" ht="12.75">
      <c r="B250" s="466"/>
      <c r="C250" s="416" t="s">
        <v>411</v>
      </c>
      <c r="D250" s="423">
        <f>$D212*3*(1+D$157)</f>
        <v>30000</v>
      </c>
      <c r="E250" s="423">
        <f t="shared" si="31"/>
        <v>30600</v>
      </c>
      <c r="F250" s="423">
        <f t="shared" si="31"/>
        <v>30600</v>
      </c>
      <c r="G250" s="423">
        <f t="shared" si="31"/>
        <v>30600</v>
      </c>
      <c r="H250" s="446">
        <f t="shared" si="32"/>
        <v>121800</v>
      </c>
      <c r="I250" s="467"/>
    </row>
    <row r="251" spans="2:9" ht="12.75">
      <c r="B251" s="466"/>
      <c r="C251" s="416" t="s">
        <v>373</v>
      </c>
      <c r="D251" s="423">
        <f>$D213*3*(1+D$157)</f>
        <v>36000</v>
      </c>
      <c r="E251" s="423">
        <f t="shared" si="31"/>
        <v>36720</v>
      </c>
      <c r="F251" s="423">
        <f t="shared" si="31"/>
        <v>36720</v>
      </c>
      <c r="G251" s="423">
        <f t="shared" si="31"/>
        <v>36720</v>
      </c>
      <c r="H251" s="446">
        <f t="shared" si="32"/>
        <v>146160</v>
      </c>
      <c r="I251" s="467"/>
    </row>
    <row r="252" spans="2:9" ht="12.75">
      <c r="B252" s="466"/>
      <c r="C252" s="416" t="s">
        <v>374</v>
      </c>
      <c r="D252" s="423">
        <f>D214*3</f>
        <v>2700</v>
      </c>
      <c r="E252" s="423">
        <f>D252*(1+D$14)</f>
        <v>2781</v>
      </c>
      <c r="F252" s="423">
        <f>E252*(1+E$14)</f>
        <v>2836.62</v>
      </c>
      <c r="G252" s="423">
        <f>F252*(1+F$14)</f>
        <v>2921.7186</v>
      </c>
      <c r="H252" s="446">
        <f t="shared" si="32"/>
        <v>11239.3386</v>
      </c>
      <c r="I252" s="467"/>
    </row>
    <row r="253" spans="2:9" ht="12.75">
      <c r="B253" s="466"/>
      <c r="C253" s="416" t="s">
        <v>375</v>
      </c>
      <c r="D253" s="423">
        <f aca="true" t="shared" si="33" ref="D253:D258">D215*3</f>
        <v>1110</v>
      </c>
      <c r="E253" s="423">
        <f aca="true" t="shared" si="34" ref="E253:G258">D253*(1+D$14)</f>
        <v>1143.3</v>
      </c>
      <c r="F253" s="423">
        <f t="shared" si="34"/>
        <v>1166.166</v>
      </c>
      <c r="G253" s="423">
        <f t="shared" si="34"/>
        <v>1201.15098</v>
      </c>
      <c r="H253" s="446">
        <f t="shared" si="32"/>
        <v>4620.616980000001</v>
      </c>
      <c r="I253" s="467"/>
    </row>
    <row r="254" spans="2:9" ht="12.75">
      <c r="B254" s="466"/>
      <c r="C254" s="416" t="s">
        <v>486</v>
      </c>
      <c r="D254" s="423">
        <f t="shared" si="33"/>
        <v>0</v>
      </c>
      <c r="E254" s="423">
        <f t="shared" si="34"/>
        <v>0</v>
      </c>
      <c r="F254" s="423">
        <f t="shared" si="34"/>
        <v>0</v>
      </c>
      <c r="G254" s="423">
        <f t="shared" si="34"/>
        <v>0</v>
      </c>
      <c r="H254" s="446">
        <f t="shared" si="32"/>
        <v>0</v>
      </c>
      <c r="I254" s="467"/>
    </row>
    <row r="255" spans="2:26" ht="12.75">
      <c r="B255" s="466"/>
      <c r="C255" s="416" t="s">
        <v>487</v>
      </c>
      <c r="D255" s="423">
        <f t="shared" si="33"/>
        <v>0</v>
      </c>
      <c r="E255" s="423">
        <f t="shared" si="34"/>
        <v>0</v>
      </c>
      <c r="F255" s="423">
        <f t="shared" si="34"/>
        <v>0</v>
      </c>
      <c r="G255" s="423">
        <f t="shared" si="34"/>
        <v>0</v>
      </c>
      <c r="H255" s="446">
        <f t="shared" si="32"/>
        <v>0</v>
      </c>
      <c r="I255" s="467"/>
      <c r="W255" s="105"/>
      <c r="X255" s="105"/>
      <c r="Y255" s="105"/>
      <c r="Z255" s="105"/>
    </row>
    <row r="256" spans="2:22" ht="12.75">
      <c r="B256" s="466"/>
      <c r="C256" s="416" t="s">
        <v>488</v>
      </c>
      <c r="D256" s="423">
        <f t="shared" si="33"/>
        <v>0</v>
      </c>
      <c r="E256" s="423">
        <f t="shared" si="34"/>
        <v>0</v>
      </c>
      <c r="F256" s="423">
        <f t="shared" si="34"/>
        <v>0</v>
      </c>
      <c r="G256" s="423">
        <f t="shared" si="34"/>
        <v>0</v>
      </c>
      <c r="H256" s="446">
        <f t="shared" si="32"/>
        <v>0</v>
      </c>
      <c r="I256" s="467"/>
      <c r="V256" s="105"/>
    </row>
    <row r="257" spans="2:9" ht="12.75">
      <c r="B257" s="466"/>
      <c r="C257" s="416" t="s">
        <v>489</v>
      </c>
      <c r="D257" s="423">
        <f t="shared" si="33"/>
        <v>0</v>
      </c>
      <c r="E257" s="423">
        <f t="shared" si="34"/>
        <v>0</v>
      </c>
      <c r="F257" s="423">
        <f t="shared" si="34"/>
        <v>0</v>
      </c>
      <c r="G257" s="423">
        <f t="shared" si="34"/>
        <v>0</v>
      </c>
      <c r="H257" s="446">
        <f t="shared" si="32"/>
        <v>0</v>
      </c>
      <c r="I257" s="467"/>
    </row>
    <row r="258" spans="2:9" ht="12.75">
      <c r="B258" s="466"/>
      <c r="C258" s="416" t="s">
        <v>376</v>
      </c>
      <c r="D258" s="423">
        <f t="shared" si="33"/>
        <v>570</v>
      </c>
      <c r="E258" s="423">
        <f t="shared" si="34"/>
        <v>587.1</v>
      </c>
      <c r="F258" s="423">
        <f t="shared" si="34"/>
        <v>598.842</v>
      </c>
      <c r="G258" s="423">
        <f t="shared" si="34"/>
        <v>616.80726</v>
      </c>
      <c r="H258" s="446">
        <f t="shared" si="32"/>
        <v>2372.74926</v>
      </c>
      <c r="I258" s="467"/>
    </row>
    <row r="259" spans="2:21" ht="12.75">
      <c r="B259" s="466"/>
      <c r="C259" s="416" t="s">
        <v>352</v>
      </c>
      <c r="D259" s="427">
        <f>Dados!B101</f>
        <v>10</v>
      </c>
      <c r="E259" s="427">
        <f>Dados!C101</f>
        <v>10</v>
      </c>
      <c r="F259" s="427">
        <f>Dados!D101</f>
        <v>10</v>
      </c>
      <c r="G259" s="427">
        <f>Dados!E101</f>
        <v>10</v>
      </c>
      <c r="H259" s="446">
        <f t="shared" si="32"/>
        <v>40</v>
      </c>
      <c r="I259" s="467"/>
      <c r="U259" s="101"/>
    </row>
    <row r="260" spans="2:9" ht="12.75">
      <c r="B260" s="466"/>
      <c r="C260" s="416" t="s">
        <v>377</v>
      </c>
      <c r="D260" s="423">
        <f>D221*3</f>
        <v>570</v>
      </c>
      <c r="E260" s="423">
        <f aca="true" t="shared" si="35" ref="E260:G261">D260</f>
        <v>570</v>
      </c>
      <c r="F260" s="423">
        <f t="shared" si="35"/>
        <v>570</v>
      </c>
      <c r="G260" s="423">
        <f t="shared" si="35"/>
        <v>570</v>
      </c>
      <c r="H260" s="446">
        <f t="shared" si="32"/>
        <v>2280</v>
      </c>
      <c r="I260" s="467"/>
    </row>
    <row r="261" spans="2:9" ht="12.75">
      <c r="B261" s="466"/>
      <c r="C261" s="416" t="s">
        <v>378</v>
      </c>
      <c r="D261" s="423">
        <f>D222*3</f>
        <v>840</v>
      </c>
      <c r="E261" s="423">
        <f t="shared" si="35"/>
        <v>840</v>
      </c>
      <c r="F261" s="423">
        <f t="shared" si="35"/>
        <v>840</v>
      </c>
      <c r="G261" s="423">
        <f t="shared" si="35"/>
        <v>840</v>
      </c>
      <c r="H261" s="446">
        <f t="shared" si="32"/>
        <v>3360</v>
      </c>
      <c r="I261" s="467"/>
    </row>
    <row r="262" spans="2:9" ht="12.75">
      <c r="B262" s="466"/>
      <c r="C262" s="399" t="s">
        <v>379</v>
      </c>
      <c r="D262" s="452">
        <f>SUM(D248:D261)</f>
        <v>77800</v>
      </c>
      <c r="E262" s="452">
        <f>SUM(E248:E261)</f>
        <v>79371.40000000001</v>
      </c>
      <c r="F262" s="452">
        <f>SUM(F248:F261)</f>
        <v>79461.628</v>
      </c>
      <c r="G262" s="452">
        <f>SUM(G248:G261)</f>
        <v>79599.67684</v>
      </c>
      <c r="H262" s="453">
        <f>SUM(D262:G262)</f>
        <v>316232.70484</v>
      </c>
      <c r="I262" s="467"/>
    </row>
    <row r="263" spans="2:9" ht="12.75">
      <c r="B263" s="466"/>
      <c r="C263" s="399" t="s">
        <v>380</v>
      </c>
      <c r="D263" s="425"/>
      <c r="E263" s="425"/>
      <c r="F263" s="425"/>
      <c r="G263" s="425"/>
      <c r="H263" s="445"/>
      <c r="I263" s="467"/>
    </row>
    <row r="264" spans="2:21" ht="12.75">
      <c r="B264" s="466"/>
      <c r="C264" s="416" t="s">
        <v>346</v>
      </c>
      <c r="D264" s="455">
        <f aca="true" t="shared" si="36" ref="D264:G267">$E210*D$128/10*(1+D$157)</f>
        <v>0</v>
      </c>
      <c r="E264" s="455">
        <f t="shared" si="36"/>
        <v>0</v>
      </c>
      <c r="F264" s="455">
        <f t="shared" si="36"/>
        <v>0</v>
      </c>
      <c r="G264" s="455">
        <f t="shared" si="36"/>
        <v>0</v>
      </c>
      <c r="H264" s="446">
        <f>SUM(D264:G264)</f>
        <v>0</v>
      </c>
      <c r="I264" s="467"/>
      <c r="U264" s="101"/>
    </row>
    <row r="265" spans="2:9" ht="12.75">
      <c r="B265" s="466"/>
      <c r="C265" s="416" t="s">
        <v>394</v>
      </c>
      <c r="D265" s="455">
        <f t="shared" si="36"/>
        <v>0</v>
      </c>
      <c r="E265" s="455">
        <f t="shared" si="36"/>
        <v>0</v>
      </c>
      <c r="F265" s="455">
        <f t="shared" si="36"/>
        <v>0</v>
      </c>
      <c r="G265" s="455">
        <f t="shared" si="36"/>
        <v>0</v>
      </c>
      <c r="H265" s="446">
        <f aca="true" t="shared" si="37" ref="H265:H277">SUM(D265:G265)</f>
        <v>0</v>
      </c>
      <c r="I265" s="467"/>
    </row>
    <row r="266" spans="2:9" ht="12.75">
      <c r="B266" s="466"/>
      <c r="C266" s="416" t="s">
        <v>395</v>
      </c>
      <c r="D266" s="455">
        <f t="shared" si="36"/>
        <v>0</v>
      </c>
      <c r="E266" s="455">
        <f t="shared" si="36"/>
        <v>0</v>
      </c>
      <c r="F266" s="455">
        <f t="shared" si="36"/>
        <v>0</v>
      </c>
      <c r="G266" s="455">
        <f t="shared" si="36"/>
        <v>0</v>
      </c>
      <c r="H266" s="446">
        <f t="shared" si="37"/>
        <v>0</v>
      </c>
      <c r="I266" s="467"/>
    </row>
    <row r="267" spans="2:9" ht="12.75">
      <c r="B267" s="466"/>
      <c r="C267" s="416" t="s">
        <v>348</v>
      </c>
      <c r="D267" s="455">
        <f t="shared" si="36"/>
        <v>0</v>
      </c>
      <c r="E267" s="455">
        <f t="shared" si="36"/>
        <v>0</v>
      </c>
      <c r="F267" s="455">
        <f t="shared" si="36"/>
        <v>0</v>
      </c>
      <c r="G267" s="455">
        <f t="shared" si="36"/>
        <v>0</v>
      </c>
      <c r="H267" s="446">
        <f t="shared" si="37"/>
        <v>0</v>
      </c>
      <c r="I267" s="467"/>
    </row>
    <row r="268" spans="2:9" ht="12.75">
      <c r="B268" s="466"/>
      <c r="C268" s="416" t="s">
        <v>381</v>
      </c>
      <c r="D268" s="423">
        <f aca="true" t="shared" si="38" ref="D268:D274">$E214*D$128/10</f>
        <v>1266.381</v>
      </c>
      <c r="E268" s="423">
        <f aca="true" t="shared" si="39" ref="E268:G274">$E214/10*E$128*(1+D$14)</f>
        <v>1148.61789</v>
      </c>
      <c r="F268" s="423">
        <f t="shared" si="39"/>
        <v>1250.82396</v>
      </c>
      <c r="G268" s="423">
        <f t="shared" si="39"/>
        <v>1302.16926</v>
      </c>
      <c r="H268" s="446">
        <f t="shared" si="37"/>
        <v>4967.992109999999</v>
      </c>
      <c r="I268" s="467"/>
    </row>
    <row r="269" spans="2:9" ht="12.75">
      <c r="B269" s="466"/>
      <c r="C269" s="416" t="s">
        <v>382</v>
      </c>
      <c r="D269" s="423">
        <f t="shared" si="38"/>
        <v>633.1905</v>
      </c>
      <c r="E269" s="423">
        <f t="shared" si="39"/>
        <v>574.308945</v>
      </c>
      <c r="F269" s="423">
        <f t="shared" si="39"/>
        <v>625.41198</v>
      </c>
      <c r="G269" s="423">
        <f t="shared" si="39"/>
        <v>651.08463</v>
      </c>
      <c r="H269" s="446">
        <f t="shared" si="37"/>
        <v>2483.9960549999996</v>
      </c>
      <c r="I269" s="467"/>
    </row>
    <row r="270" spans="2:9" ht="12.75">
      <c r="B270" s="466"/>
      <c r="C270" s="416" t="s">
        <v>399</v>
      </c>
      <c r="D270" s="423">
        <f t="shared" si="38"/>
        <v>0</v>
      </c>
      <c r="E270" s="423">
        <f t="shared" si="39"/>
        <v>0</v>
      </c>
      <c r="F270" s="423">
        <f t="shared" si="39"/>
        <v>0</v>
      </c>
      <c r="G270" s="423">
        <f t="shared" si="39"/>
        <v>0</v>
      </c>
      <c r="H270" s="446">
        <f t="shared" si="37"/>
        <v>0</v>
      </c>
      <c r="I270" s="467"/>
    </row>
    <row r="271" spans="2:9" ht="12.75">
      <c r="B271" s="466"/>
      <c r="C271" s="416" t="s">
        <v>400</v>
      </c>
      <c r="D271" s="423">
        <f t="shared" si="38"/>
        <v>0</v>
      </c>
      <c r="E271" s="423">
        <f t="shared" si="39"/>
        <v>0</v>
      </c>
      <c r="F271" s="423">
        <f t="shared" si="39"/>
        <v>0</v>
      </c>
      <c r="G271" s="423">
        <f t="shared" si="39"/>
        <v>0</v>
      </c>
      <c r="H271" s="446">
        <f t="shared" si="37"/>
        <v>0</v>
      </c>
      <c r="I271" s="467"/>
    </row>
    <row r="272" spans="2:9" ht="12.75">
      <c r="B272" s="466"/>
      <c r="C272" s="416" t="s">
        <v>401</v>
      </c>
      <c r="D272" s="423">
        <f t="shared" si="38"/>
        <v>0</v>
      </c>
      <c r="E272" s="423">
        <f t="shared" si="39"/>
        <v>0</v>
      </c>
      <c r="F272" s="423">
        <f t="shared" si="39"/>
        <v>0</v>
      </c>
      <c r="G272" s="423">
        <f t="shared" si="39"/>
        <v>0</v>
      </c>
      <c r="H272" s="446">
        <f t="shared" si="37"/>
        <v>0</v>
      </c>
      <c r="I272" s="467"/>
    </row>
    <row r="273" spans="2:9" ht="12.75">
      <c r="B273" s="466"/>
      <c r="C273" s="416" t="s">
        <v>402</v>
      </c>
      <c r="D273" s="423">
        <f t="shared" si="38"/>
        <v>0</v>
      </c>
      <c r="E273" s="423">
        <f t="shared" si="39"/>
        <v>0</v>
      </c>
      <c r="F273" s="423">
        <f t="shared" si="39"/>
        <v>0</v>
      </c>
      <c r="G273" s="423">
        <f t="shared" si="39"/>
        <v>0</v>
      </c>
      <c r="H273" s="446">
        <f t="shared" si="37"/>
        <v>0</v>
      </c>
      <c r="I273" s="467"/>
    </row>
    <row r="274" spans="2:9" ht="12.75">
      <c r="B274" s="466"/>
      <c r="C274" s="416" t="s">
        <v>383</v>
      </c>
      <c r="D274" s="423">
        <f t="shared" si="38"/>
        <v>987.2324999999998</v>
      </c>
      <c r="E274" s="423">
        <f t="shared" si="39"/>
        <v>895.427925</v>
      </c>
      <c r="F274" s="423">
        <f t="shared" si="39"/>
        <v>975.1046999999999</v>
      </c>
      <c r="G274" s="423">
        <f t="shared" si="39"/>
        <v>1015.13195</v>
      </c>
      <c r="H274" s="446">
        <f t="shared" si="37"/>
        <v>3872.897075</v>
      </c>
      <c r="I274" s="467"/>
    </row>
    <row r="275" spans="2:9" ht="12.75">
      <c r="B275" s="466"/>
      <c r="C275" s="416" t="s">
        <v>352</v>
      </c>
      <c r="D275" s="427">
        <f>Dados!B102</f>
        <v>0</v>
      </c>
      <c r="E275" s="427">
        <f>Dados!C102</f>
        <v>0</v>
      </c>
      <c r="F275" s="427">
        <f>Dados!D102</f>
        <v>0</v>
      </c>
      <c r="G275" s="427">
        <f>Dados!E102</f>
        <v>0</v>
      </c>
      <c r="H275" s="446">
        <f t="shared" si="37"/>
        <v>0</v>
      </c>
      <c r="I275" s="467"/>
    </row>
    <row r="276" spans="2:9" ht="12.75">
      <c r="B276" s="466"/>
      <c r="C276" s="416" t="s">
        <v>353</v>
      </c>
      <c r="D276" s="423">
        <f>$E221*D$128/10</f>
        <v>0</v>
      </c>
      <c r="E276" s="423">
        <f aca="true" t="shared" si="40" ref="E276:G277">D276</f>
        <v>0</v>
      </c>
      <c r="F276" s="423">
        <f t="shared" si="40"/>
        <v>0</v>
      </c>
      <c r="G276" s="423">
        <f t="shared" si="40"/>
        <v>0</v>
      </c>
      <c r="H276" s="446">
        <f t="shared" si="37"/>
        <v>0</v>
      </c>
      <c r="I276" s="467"/>
    </row>
    <row r="277" spans="2:9" ht="12.75">
      <c r="B277" s="466"/>
      <c r="C277" s="416" t="s">
        <v>354</v>
      </c>
      <c r="D277" s="423">
        <f>$E222*D$128/10</f>
        <v>0</v>
      </c>
      <c r="E277" s="423">
        <f t="shared" si="40"/>
        <v>0</v>
      </c>
      <c r="F277" s="423">
        <f t="shared" si="40"/>
        <v>0</v>
      </c>
      <c r="G277" s="423">
        <f t="shared" si="40"/>
        <v>0</v>
      </c>
      <c r="H277" s="446">
        <f t="shared" si="37"/>
        <v>0</v>
      </c>
      <c r="I277" s="467"/>
    </row>
    <row r="278" spans="2:9" ht="12.75">
      <c r="B278" s="466"/>
      <c r="C278" s="399" t="s">
        <v>379</v>
      </c>
      <c r="D278" s="424">
        <f>SUM(D268:D277)</f>
        <v>2886.804</v>
      </c>
      <c r="E278" s="424">
        <f>SUM(E268:E277)</f>
        <v>2618.35476</v>
      </c>
      <c r="F278" s="424">
        <f>SUM(F268:F277)</f>
        <v>2851.34064</v>
      </c>
      <c r="G278" s="424">
        <f>SUM(G268:G277)</f>
        <v>2968.38584</v>
      </c>
      <c r="H278" s="446">
        <f>SUM(D278:G278)</f>
        <v>11324.88524</v>
      </c>
      <c r="I278" s="467"/>
    </row>
    <row r="279" spans="2:9" ht="12.75">
      <c r="B279" s="466"/>
      <c r="C279" s="399" t="s">
        <v>384</v>
      </c>
      <c r="D279" s="423"/>
      <c r="E279" s="423"/>
      <c r="F279" s="423"/>
      <c r="G279" s="423"/>
      <c r="H279" s="444"/>
      <c r="I279" s="467"/>
    </row>
    <row r="280" spans="2:9" ht="12.75">
      <c r="B280" s="466"/>
      <c r="C280" s="416" t="s">
        <v>346</v>
      </c>
      <c r="D280" s="423">
        <f aca="true" t="shared" si="41" ref="D280:G291">D248+D264</f>
        <v>6000</v>
      </c>
      <c r="E280" s="423">
        <f t="shared" si="41"/>
        <v>6120</v>
      </c>
      <c r="F280" s="423">
        <f t="shared" si="41"/>
        <v>6120</v>
      </c>
      <c r="G280" s="423">
        <f t="shared" si="41"/>
        <v>6120</v>
      </c>
      <c r="H280" s="446">
        <f>SUM(D280:G280)</f>
        <v>24360</v>
      </c>
      <c r="I280" s="467"/>
    </row>
    <row r="281" spans="2:9" ht="12.75">
      <c r="B281" s="466"/>
      <c r="C281" s="416" t="s">
        <v>413</v>
      </c>
      <c r="D281" s="423">
        <f t="shared" si="41"/>
        <v>0</v>
      </c>
      <c r="E281" s="423">
        <f t="shared" si="41"/>
        <v>0</v>
      </c>
      <c r="F281" s="423">
        <f t="shared" si="41"/>
        <v>0</v>
      </c>
      <c r="G281" s="423">
        <f t="shared" si="41"/>
        <v>0</v>
      </c>
      <c r="H281" s="446">
        <f>SUM(D281:G281)</f>
        <v>0</v>
      </c>
      <c r="I281" s="467"/>
    </row>
    <row r="282" spans="2:9" ht="12.75">
      <c r="B282" s="466"/>
      <c r="C282" s="416" t="s">
        <v>414</v>
      </c>
      <c r="D282" s="423">
        <f t="shared" si="41"/>
        <v>30000</v>
      </c>
      <c r="E282" s="423">
        <f t="shared" si="41"/>
        <v>30600</v>
      </c>
      <c r="F282" s="423">
        <f t="shared" si="41"/>
        <v>30600</v>
      </c>
      <c r="G282" s="423">
        <f t="shared" si="41"/>
        <v>30600</v>
      </c>
      <c r="H282" s="446">
        <f>SUM(D282:G282)</f>
        <v>121800</v>
      </c>
      <c r="I282" s="467"/>
    </row>
    <row r="283" spans="2:9" ht="12.75">
      <c r="B283" s="466"/>
      <c r="C283" s="416" t="s">
        <v>348</v>
      </c>
      <c r="D283" s="423">
        <f t="shared" si="41"/>
        <v>36000</v>
      </c>
      <c r="E283" s="423">
        <f t="shared" si="41"/>
        <v>36720</v>
      </c>
      <c r="F283" s="423">
        <f t="shared" si="41"/>
        <v>36720</v>
      </c>
      <c r="G283" s="423">
        <f t="shared" si="41"/>
        <v>36720</v>
      </c>
      <c r="H283" s="446">
        <f aca="true" t="shared" si="42" ref="H283:H293">SUM(D283:G283)</f>
        <v>146160</v>
      </c>
      <c r="I283" s="467"/>
    </row>
    <row r="284" spans="2:9" ht="12.75">
      <c r="B284" s="466"/>
      <c r="C284" s="416" t="s">
        <v>381</v>
      </c>
      <c r="D284" s="423">
        <f t="shared" si="41"/>
        <v>3966.3810000000003</v>
      </c>
      <c r="E284" s="423">
        <f t="shared" si="41"/>
        <v>3929.61789</v>
      </c>
      <c r="F284" s="423">
        <f t="shared" si="41"/>
        <v>4087.4439599999996</v>
      </c>
      <c r="G284" s="423">
        <f t="shared" si="41"/>
        <v>4223.88786</v>
      </c>
      <c r="H284" s="446">
        <f t="shared" si="42"/>
        <v>16207.330709999998</v>
      </c>
      <c r="I284" s="467"/>
    </row>
    <row r="285" spans="2:9" ht="12.75">
      <c r="B285" s="466"/>
      <c r="C285" s="416" t="s">
        <v>382</v>
      </c>
      <c r="D285" s="423">
        <f t="shared" si="41"/>
        <v>1743.1905000000002</v>
      </c>
      <c r="E285" s="423">
        <f t="shared" si="41"/>
        <v>1717.608945</v>
      </c>
      <c r="F285" s="423">
        <f t="shared" si="41"/>
        <v>1791.57798</v>
      </c>
      <c r="G285" s="423">
        <f t="shared" si="41"/>
        <v>1852.2356099999997</v>
      </c>
      <c r="H285" s="446">
        <f t="shared" si="42"/>
        <v>7104.613035</v>
      </c>
      <c r="I285" s="467"/>
    </row>
    <row r="286" spans="2:9" ht="12.75">
      <c r="B286" s="466"/>
      <c r="C286" s="416" t="s">
        <v>399</v>
      </c>
      <c r="D286" s="423">
        <f t="shared" si="41"/>
        <v>0</v>
      </c>
      <c r="E286" s="423">
        <f t="shared" si="41"/>
        <v>0</v>
      </c>
      <c r="F286" s="423">
        <f t="shared" si="41"/>
        <v>0</v>
      </c>
      <c r="G286" s="423">
        <f t="shared" si="41"/>
        <v>0</v>
      </c>
      <c r="H286" s="446">
        <f t="shared" si="42"/>
        <v>0</v>
      </c>
      <c r="I286" s="467"/>
    </row>
    <row r="287" spans="2:9" ht="12.75">
      <c r="B287" s="466"/>
      <c r="C287" s="416" t="s">
        <v>400</v>
      </c>
      <c r="D287" s="423">
        <f t="shared" si="41"/>
        <v>0</v>
      </c>
      <c r="E287" s="423">
        <f t="shared" si="41"/>
        <v>0</v>
      </c>
      <c r="F287" s="423">
        <f t="shared" si="41"/>
        <v>0</v>
      </c>
      <c r="G287" s="423">
        <f t="shared" si="41"/>
        <v>0</v>
      </c>
      <c r="H287" s="446">
        <f t="shared" si="42"/>
        <v>0</v>
      </c>
      <c r="I287" s="467"/>
    </row>
    <row r="288" spans="2:9" ht="12.75">
      <c r="B288" s="466"/>
      <c r="C288" s="416" t="s">
        <v>401</v>
      </c>
      <c r="D288" s="423">
        <f t="shared" si="41"/>
        <v>0</v>
      </c>
      <c r="E288" s="423">
        <f t="shared" si="41"/>
        <v>0</v>
      </c>
      <c r="F288" s="423">
        <f t="shared" si="41"/>
        <v>0</v>
      </c>
      <c r="G288" s="423">
        <f t="shared" si="41"/>
        <v>0</v>
      </c>
      <c r="H288" s="446">
        <f t="shared" si="42"/>
        <v>0</v>
      </c>
      <c r="I288" s="467"/>
    </row>
    <row r="289" spans="2:9" ht="12.75">
      <c r="B289" s="466"/>
      <c r="C289" s="416" t="s">
        <v>402</v>
      </c>
      <c r="D289" s="423">
        <f t="shared" si="41"/>
        <v>0</v>
      </c>
      <c r="E289" s="423">
        <f t="shared" si="41"/>
        <v>0</v>
      </c>
      <c r="F289" s="423">
        <f t="shared" si="41"/>
        <v>0</v>
      </c>
      <c r="G289" s="423">
        <f t="shared" si="41"/>
        <v>0</v>
      </c>
      <c r="H289" s="446">
        <f t="shared" si="42"/>
        <v>0</v>
      </c>
      <c r="I289" s="467"/>
    </row>
    <row r="290" spans="2:9" ht="12.75">
      <c r="B290" s="466"/>
      <c r="C290" s="416" t="s">
        <v>383</v>
      </c>
      <c r="D290" s="423">
        <f t="shared" si="41"/>
        <v>1557.2324999999998</v>
      </c>
      <c r="E290" s="423">
        <f t="shared" si="41"/>
        <v>1482.5279249999999</v>
      </c>
      <c r="F290" s="423">
        <f t="shared" si="41"/>
        <v>1573.9467</v>
      </c>
      <c r="G290" s="423">
        <f t="shared" si="41"/>
        <v>1631.93921</v>
      </c>
      <c r="H290" s="446">
        <f t="shared" si="42"/>
        <v>6245.646334999999</v>
      </c>
      <c r="I290" s="467"/>
    </row>
    <row r="291" spans="2:9" ht="12.75">
      <c r="B291" s="466"/>
      <c r="C291" s="416" t="s">
        <v>352</v>
      </c>
      <c r="D291" s="423">
        <f t="shared" si="41"/>
        <v>10</v>
      </c>
      <c r="E291" s="423">
        <f t="shared" si="41"/>
        <v>10</v>
      </c>
      <c r="F291" s="423">
        <f t="shared" si="41"/>
        <v>10</v>
      </c>
      <c r="G291" s="423">
        <f t="shared" si="41"/>
        <v>10</v>
      </c>
      <c r="H291" s="446">
        <f t="shared" si="42"/>
        <v>40</v>
      </c>
      <c r="I291" s="467"/>
    </row>
    <row r="292" spans="2:9" ht="12.75">
      <c r="B292" s="466"/>
      <c r="C292" s="416" t="s">
        <v>353</v>
      </c>
      <c r="D292" s="423">
        <f aca="true" t="shared" si="43" ref="D292:G293">D260+D276</f>
        <v>570</v>
      </c>
      <c r="E292" s="423">
        <f t="shared" si="43"/>
        <v>570</v>
      </c>
      <c r="F292" s="423">
        <f t="shared" si="43"/>
        <v>570</v>
      </c>
      <c r="G292" s="423">
        <f t="shared" si="43"/>
        <v>570</v>
      </c>
      <c r="H292" s="446">
        <f t="shared" si="42"/>
        <v>2280</v>
      </c>
      <c r="I292" s="467"/>
    </row>
    <row r="293" spans="2:9" ht="12.75">
      <c r="B293" s="466"/>
      <c r="C293" s="416" t="s">
        <v>354</v>
      </c>
      <c r="D293" s="423">
        <f t="shared" si="43"/>
        <v>840</v>
      </c>
      <c r="E293" s="423">
        <f t="shared" si="43"/>
        <v>840</v>
      </c>
      <c r="F293" s="423">
        <f t="shared" si="43"/>
        <v>840</v>
      </c>
      <c r="G293" s="423">
        <f t="shared" si="43"/>
        <v>840</v>
      </c>
      <c r="H293" s="446">
        <f t="shared" si="42"/>
        <v>3360</v>
      </c>
      <c r="I293" s="467"/>
    </row>
    <row r="294" spans="2:9" ht="12.75">
      <c r="B294" s="466"/>
      <c r="C294" s="399" t="s">
        <v>379</v>
      </c>
      <c r="D294" s="424">
        <f>SUM(D280:D293)</f>
        <v>80686.80399999999</v>
      </c>
      <c r="E294" s="424">
        <f>SUM(E280:E293)</f>
        <v>81989.75476</v>
      </c>
      <c r="F294" s="424">
        <f>SUM(F280:F293)</f>
        <v>82312.96864</v>
      </c>
      <c r="G294" s="424">
        <f>SUM(G280:G293)</f>
        <v>82568.06268</v>
      </c>
      <c r="H294" s="446">
        <f>SUM(D294:G294)</f>
        <v>327557.59008</v>
      </c>
      <c r="I294" s="467"/>
    </row>
    <row r="295" spans="2:9" ht="13.5" thickBot="1">
      <c r="B295" s="466"/>
      <c r="C295" s="419"/>
      <c r="D295" s="407"/>
      <c r="E295" s="407"/>
      <c r="F295" s="407"/>
      <c r="G295" s="407"/>
      <c r="H295" s="420"/>
      <c r="I295" s="467"/>
    </row>
    <row r="296" spans="2:9" ht="13.5" thickBot="1">
      <c r="B296" s="466"/>
      <c r="C296" s="20"/>
      <c r="D296" s="20"/>
      <c r="E296" s="20"/>
      <c r="F296" s="20"/>
      <c r="G296" s="20"/>
      <c r="H296" s="20"/>
      <c r="I296" s="467"/>
    </row>
    <row r="297" spans="2:9" ht="12.75">
      <c r="B297" s="466"/>
      <c r="C297" s="421" t="s">
        <v>385</v>
      </c>
      <c r="D297" s="81" t="str">
        <f>$D$16</f>
        <v>Trim 1</v>
      </c>
      <c r="E297" s="81" t="str">
        <f>$E$16</f>
        <v>Trim 2</v>
      </c>
      <c r="F297" s="81" t="str">
        <f>$F$16</f>
        <v>Trim 3</v>
      </c>
      <c r="G297" s="81" t="str">
        <f>$G$16</f>
        <v>Trim 4</v>
      </c>
      <c r="H297" s="462" t="s">
        <v>20</v>
      </c>
      <c r="I297" s="467"/>
    </row>
    <row r="298" spans="2:9" ht="12.75">
      <c r="B298" s="466"/>
      <c r="C298" s="422" t="s">
        <v>412</v>
      </c>
      <c r="D298" s="410"/>
      <c r="E298" s="410"/>
      <c r="F298" s="410"/>
      <c r="G298" s="410"/>
      <c r="H298" s="415"/>
      <c r="I298" s="467"/>
    </row>
    <row r="299" spans="2:9" ht="12.75">
      <c r="B299" s="466"/>
      <c r="C299" s="399" t="s">
        <v>409</v>
      </c>
      <c r="D299" s="411"/>
      <c r="E299" s="411"/>
      <c r="F299" s="411"/>
      <c r="G299" s="412"/>
      <c r="H299" s="417"/>
      <c r="I299" s="467"/>
    </row>
    <row r="300" spans="2:9" ht="12.75">
      <c r="B300" s="466"/>
      <c r="C300" s="399" t="s">
        <v>344</v>
      </c>
      <c r="D300" s="400"/>
      <c r="E300" s="400"/>
      <c r="F300" s="400"/>
      <c r="G300" s="400"/>
      <c r="H300" s="401"/>
      <c r="I300" s="467"/>
    </row>
    <row r="301" spans="2:9" ht="12.75">
      <c r="B301" s="466"/>
      <c r="C301" s="399" t="s">
        <v>372</v>
      </c>
      <c r="D301" s="405"/>
      <c r="E301" s="405"/>
      <c r="F301" s="405"/>
      <c r="G301" s="405"/>
      <c r="H301" s="406"/>
      <c r="I301" s="467"/>
    </row>
    <row r="302" spans="2:9" ht="12.75">
      <c r="B302" s="466"/>
      <c r="C302" s="416" t="s">
        <v>386</v>
      </c>
      <c r="D302" s="423">
        <f>$D228*3*(1+D$157)</f>
        <v>6000</v>
      </c>
      <c r="E302" s="423">
        <f aca="true" t="shared" si="44" ref="E302:G303">D302*(1+E$157)</f>
        <v>6120</v>
      </c>
      <c r="F302" s="423">
        <f t="shared" si="44"/>
        <v>6120</v>
      </c>
      <c r="G302" s="423">
        <f t="shared" si="44"/>
        <v>6120</v>
      </c>
      <c r="H302" s="446">
        <f>SUM(D302:G302)</f>
        <v>24360</v>
      </c>
      <c r="I302" s="467"/>
    </row>
    <row r="303" spans="2:9" ht="12.75">
      <c r="B303" s="466"/>
      <c r="C303" s="416" t="s">
        <v>410</v>
      </c>
      <c r="D303" s="423">
        <f>$D229*3*(1+D$157)</f>
        <v>0</v>
      </c>
      <c r="E303" s="423">
        <f t="shared" si="44"/>
        <v>0</v>
      </c>
      <c r="F303" s="423">
        <f t="shared" si="44"/>
        <v>0</v>
      </c>
      <c r="G303" s="423">
        <f t="shared" si="44"/>
        <v>0</v>
      </c>
      <c r="H303" s="446">
        <f aca="true" t="shared" si="45" ref="H303:H315">SUM(D303:G303)</f>
        <v>0</v>
      </c>
      <c r="I303" s="467"/>
    </row>
    <row r="304" spans="2:9" ht="12.75">
      <c r="B304" s="466"/>
      <c r="C304" s="416" t="s">
        <v>411</v>
      </c>
      <c r="D304" s="423">
        <f>$D230*3*(1+D$157)</f>
        <v>12000</v>
      </c>
      <c r="E304" s="423">
        <f aca="true" t="shared" si="46" ref="E304:G305">D304*(1+E$157)</f>
        <v>12240</v>
      </c>
      <c r="F304" s="423">
        <f t="shared" si="46"/>
        <v>12240</v>
      </c>
      <c r="G304" s="423">
        <f t="shared" si="46"/>
        <v>12240</v>
      </c>
      <c r="H304" s="446">
        <f t="shared" si="45"/>
        <v>48720</v>
      </c>
      <c r="I304" s="467"/>
    </row>
    <row r="305" spans="2:9" ht="12.75">
      <c r="B305" s="466"/>
      <c r="C305" s="416" t="s">
        <v>373</v>
      </c>
      <c r="D305" s="423">
        <f>$D231*3*(1+D$157)</f>
        <v>18000</v>
      </c>
      <c r="E305" s="423">
        <f t="shared" si="46"/>
        <v>18360</v>
      </c>
      <c r="F305" s="423">
        <f t="shared" si="46"/>
        <v>18360</v>
      </c>
      <c r="G305" s="423">
        <f t="shared" si="46"/>
        <v>18360</v>
      </c>
      <c r="H305" s="446">
        <f t="shared" si="45"/>
        <v>73080</v>
      </c>
      <c r="I305" s="467"/>
    </row>
    <row r="306" spans="2:9" ht="12.75">
      <c r="B306" s="466"/>
      <c r="C306" s="416" t="s">
        <v>374</v>
      </c>
      <c r="D306" s="423">
        <f>D232*3</f>
        <v>0</v>
      </c>
      <c r="E306" s="423">
        <f aca="true" t="shared" si="47" ref="E306:G312">D306*(1+D$14)</f>
        <v>0</v>
      </c>
      <c r="F306" s="423">
        <f t="shared" si="47"/>
        <v>0</v>
      </c>
      <c r="G306" s="423">
        <f t="shared" si="47"/>
        <v>0</v>
      </c>
      <c r="H306" s="446">
        <f t="shared" si="45"/>
        <v>0</v>
      </c>
      <c r="I306" s="467"/>
    </row>
    <row r="307" spans="2:9" ht="12.75">
      <c r="B307" s="466"/>
      <c r="C307" s="416" t="s">
        <v>375</v>
      </c>
      <c r="D307" s="423">
        <f aca="true" t="shared" si="48" ref="D307:D312">D233*3</f>
        <v>0</v>
      </c>
      <c r="E307" s="423">
        <f t="shared" si="47"/>
        <v>0</v>
      </c>
      <c r="F307" s="423">
        <f t="shared" si="47"/>
        <v>0</v>
      </c>
      <c r="G307" s="423">
        <f t="shared" si="47"/>
        <v>0</v>
      </c>
      <c r="H307" s="446">
        <f t="shared" si="45"/>
        <v>0</v>
      </c>
      <c r="I307" s="467"/>
    </row>
    <row r="308" spans="2:9" ht="12.75">
      <c r="B308" s="466"/>
      <c r="C308" s="416" t="s">
        <v>399</v>
      </c>
      <c r="D308" s="423">
        <f t="shared" si="48"/>
        <v>0</v>
      </c>
      <c r="E308" s="423">
        <f t="shared" si="47"/>
        <v>0</v>
      </c>
      <c r="F308" s="423">
        <f t="shared" si="47"/>
        <v>0</v>
      </c>
      <c r="G308" s="423">
        <f t="shared" si="47"/>
        <v>0</v>
      </c>
      <c r="H308" s="446">
        <f t="shared" si="45"/>
        <v>0</v>
      </c>
      <c r="I308" s="467"/>
    </row>
    <row r="309" spans="2:9" ht="12.75">
      <c r="B309" s="466"/>
      <c r="C309" s="416" t="s">
        <v>400</v>
      </c>
      <c r="D309" s="423">
        <f t="shared" si="48"/>
        <v>6975</v>
      </c>
      <c r="E309" s="423">
        <f t="shared" si="47"/>
        <v>7184.25</v>
      </c>
      <c r="F309" s="423">
        <f t="shared" si="47"/>
        <v>7327.935</v>
      </c>
      <c r="G309" s="423">
        <f t="shared" si="47"/>
        <v>7547.773050000001</v>
      </c>
      <c r="H309" s="446">
        <f t="shared" si="45"/>
        <v>29034.95805</v>
      </c>
      <c r="I309" s="467"/>
    </row>
    <row r="310" spans="2:9" ht="12.75">
      <c r="B310" s="466"/>
      <c r="C310" s="416" t="s">
        <v>401</v>
      </c>
      <c r="D310" s="423">
        <f t="shared" si="48"/>
        <v>0</v>
      </c>
      <c r="E310" s="423">
        <f t="shared" si="47"/>
        <v>0</v>
      </c>
      <c r="F310" s="423">
        <f t="shared" si="47"/>
        <v>0</v>
      </c>
      <c r="G310" s="423">
        <f t="shared" si="47"/>
        <v>0</v>
      </c>
      <c r="H310" s="446">
        <f t="shared" si="45"/>
        <v>0</v>
      </c>
      <c r="I310" s="467"/>
    </row>
    <row r="311" spans="2:9" ht="12.75">
      <c r="B311" s="466"/>
      <c r="C311" s="416" t="s">
        <v>402</v>
      </c>
      <c r="D311" s="423">
        <f t="shared" si="48"/>
        <v>12570</v>
      </c>
      <c r="E311" s="423">
        <f t="shared" si="47"/>
        <v>12947.1</v>
      </c>
      <c r="F311" s="423">
        <f t="shared" si="47"/>
        <v>13206.042000000001</v>
      </c>
      <c r="G311" s="423">
        <f t="shared" si="47"/>
        <v>13602.223260000002</v>
      </c>
      <c r="H311" s="446">
        <f t="shared" si="45"/>
        <v>52325.365260000006</v>
      </c>
      <c r="I311" s="467"/>
    </row>
    <row r="312" spans="2:9" ht="12.75">
      <c r="B312" s="466"/>
      <c r="C312" s="416" t="s">
        <v>376</v>
      </c>
      <c r="D312" s="423">
        <f t="shared" si="48"/>
        <v>0</v>
      </c>
      <c r="E312" s="423">
        <f t="shared" si="47"/>
        <v>0</v>
      </c>
      <c r="F312" s="423">
        <f t="shared" si="47"/>
        <v>0</v>
      </c>
      <c r="G312" s="423">
        <f t="shared" si="47"/>
        <v>0</v>
      </c>
      <c r="H312" s="446">
        <f t="shared" si="45"/>
        <v>0</v>
      </c>
      <c r="I312" s="467"/>
    </row>
    <row r="313" spans="2:9" ht="12.75">
      <c r="B313" s="466"/>
      <c r="C313" s="416" t="s">
        <v>352</v>
      </c>
      <c r="D313" s="427">
        <f>Dados!B103</f>
        <v>20</v>
      </c>
      <c r="E313" s="427">
        <f>Dados!C103</f>
        <v>20</v>
      </c>
      <c r="F313" s="427">
        <f>Dados!D103</f>
        <v>20</v>
      </c>
      <c r="G313" s="427">
        <f>Dados!E103</f>
        <v>20</v>
      </c>
      <c r="H313" s="446">
        <f t="shared" si="45"/>
        <v>80</v>
      </c>
      <c r="I313" s="467"/>
    </row>
    <row r="314" spans="2:26" ht="12.75">
      <c r="B314" s="466"/>
      <c r="C314" s="416" t="s">
        <v>377</v>
      </c>
      <c r="D314" s="423">
        <f>D239*3</f>
        <v>2700</v>
      </c>
      <c r="E314" s="423">
        <f aca="true" t="shared" si="49" ref="E314:G315">D314</f>
        <v>2700</v>
      </c>
      <c r="F314" s="423">
        <f t="shared" si="49"/>
        <v>2700</v>
      </c>
      <c r="G314" s="423">
        <f t="shared" si="49"/>
        <v>2700</v>
      </c>
      <c r="H314" s="446">
        <f t="shared" si="45"/>
        <v>10800</v>
      </c>
      <c r="I314" s="467"/>
      <c r="W314" s="101"/>
      <c r="X314" s="101"/>
      <c r="Y314" s="101"/>
      <c r="Z314" s="101"/>
    </row>
    <row r="315" spans="2:22" ht="12.75">
      <c r="B315" s="466"/>
      <c r="C315" s="416" t="s">
        <v>378</v>
      </c>
      <c r="D315" s="423">
        <f>D240*3</f>
        <v>4185</v>
      </c>
      <c r="E315" s="423">
        <f t="shared" si="49"/>
        <v>4185</v>
      </c>
      <c r="F315" s="423">
        <f t="shared" si="49"/>
        <v>4185</v>
      </c>
      <c r="G315" s="423">
        <f t="shared" si="49"/>
        <v>4185</v>
      </c>
      <c r="H315" s="446">
        <f t="shared" si="45"/>
        <v>16740</v>
      </c>
      <c r="I315" s="467"/>
      <c r="V315" s="101"/>
    </row>
    <row r="316" spans="2:9" ht="12.75">
      <c r="B316" s="466"/>
      <c r="C316" s="399" t="s">
        <v>379</v>
      </c>
      <c r="D316" s="452">
        <f>SUM(D302:D315)</f>
        <v>62450</v>
      </c>
      <c r="E316" s="452">
        <f>SUM(E302:E315)</f>
        <v>63756.35</v>
      </c>
      <c r="F316" s="452">
        <f>SUM(F302:F315)</f>
        <v>64158.977</v>
      </c>
      <c r="G316" s="452">
        <f>SUM(G302:G315)</f>
        <v>64774.99631</v>
      </c>
      <c r="H316" s="453">
        <f>SUM(D316:G316)</f>
        <v>255140.32331</v>
      </c>
      <c r="I316" s="467"/>
    </row>
    <row r="317" spans="2:9" ht="12.75">
      <c r="B317" s="466"/>
      <c r="C317" s="399" t="s">
        <v>380</v>
      </c>
      <c r="D317" s="425"/>
      <c r="E317" s="425"/>
      <c r="F317" s="425"/>
      <c r="G317" s="425"/>
      <c r="H317" s="445"/>
      <c r="I317" s="467"/>
    </row>
    <row r="318" spans="2:9" ht="12.75">
      <c r="B318" s="466"/>
      <c r="C318" s="416" t="s">
        <v>346</v>
      </c>
      <c r="D318" s="455">
        <f aca="true" t="shared" si="50" ref="D318:G321">$E228*D$128/10*(1+D$157)</f>
        <v>0</v>
      </c>
      <c r="E318" s="455">
        <f t="shared" si="50"/>
        <v>0</v>
      </c>
      <c r="F318" s="455">
        <f t="shared" si="50"/>
        <v>0</v>
      </c>
      <c r="G318" s="455">
        <f t="shared" si="50"/>
        <v>0</v>
      </c>
      <c r="H318" s="446">
        <f>SUM(D318:G318)</f>
        <v>0</v>
      </c>
      <c r="I318" s="467"/>
    </row>
    <row r="319" spans="2:26" ht="12.75">
      <c r="B319" s="466"/>
      <c r="C319" s="416" t="s">
        <v>394</v>
      </c>
      <c r="D319" s="455">
        <f t="shared" si="50"/>
        <v>0</v>
      </c>
      <c r="E319" s="455">
        <f t="shared" si="50"/>
        <v>0</v>
      </c>
      <c r="F319" s="455">
        <f t="shared" si="50"/>
        <v>0</v>
      </c>
      <c r="G319" s="455">
        <f t="shared" si="50"/>
        <v>0</v>
      </c>
      <c r="H319" s="446">
        <f aca="true" t="shared" si="51" ref="H319:H331">SUM(D319:G319)</f>
        <v>0</v>
      </c>
      <c r="I319" s="467"/>
      <c r="W319" s="101"/>
      <c r="X319" s="101"/>
      <c r="Y319" s="101"/>
      <c r="Z319" s="101"/>
    </row>
    <row r="320" spans="2:22" ht="12.75">
      <c r="B320" s="466"/>
      <c r="C320" s="416" t="s">
        <v>395</v>
      </c>
      <c r="D320" s="455">
        <f t="shared" si="50"/>
        <v>69787.125</v>
      </c>
      <c r="E320" s="455">
        <f t="shared" si="50"/>
        <v>62682.9525</v>
      </c>
      <c r="F320" s="455">
        <f t="shared" si="50"/>
        <v>67578.25</v>
      </c>
      <c r="G320" s="455">
        <f t="shared" si="50"/>
        <v>69669.25</v>
      </c>
      <c r="H320" s="446">
        <f t="shared" si="51"/>
        <v>269717.5775</v>
      </c>
      <c r="I320" s="467"/>
      <c r="V320" s="101"/>
    </row>
    <row r="321" spans="2:9" ht="12.75">
      <c r="B321" s="466"/>
      <c r="C321" s="416" t="s">
        <v>348</v>
      </c>
      <c r="D321" s="455">
        <f t="shared" si="50"/>
        <v>34893.5625</v>
      </c>
      <c r="E321" s="455">
        <f t="shared" si="50"/>
        <v>31341.47625</v>
      </c>
      <c r="F321" s="455">
        <f t="shared" si="50"/>
        <v>33789.125</v>
      </c>
      <c r="G321" s="455">
        <f t="shared" si="50"/>
        <v>34834.625</v>
      </c>
      <c r="H321" s="446">
        <f t="shared" si="51"/>
        <v>134858.78875</v>
      </c>
      <c r="I321" s="467"/>
    </row>
    <row r="322" spans="2:9" ht="12.75">
      <c r="B322" s="466"/>
      <c r="C322" s="416" t="s">
        <v>381</v>
      </c>
      <c r="D322" s="423">
        <f>$E232/10*D$128</f>
        <v>0</v>
      </c>
      <c r="E322" s="423">
        <f aca="true" t="shared" si="52" ref="E322:G328">$E232/10*D$128*(1+D$14)</f>
        <v>0</v>
      </c>
      <c r="F322" s="423">
        <f t="shared" si="52"/>
        <v>0</v>
      </c>
      <c r="G322" s="423">
        <f t="shared" si="52"/>
        <v>0</v>
      </c>
      <c r="H322" s="446">
        <f t="shared" si="51"/>
        <v>0</v>
      </c>
      <c r="I322" s="467"/>
    </row>
    <row r="323" spans="2:9" ht="12.75">
      <c r="B323" s="466"/>
      <c r="C323" s="416" t="s">
        <v>382</v>
      </c>
      <c r="D323" s="423">
        <f aca="true" t="shared" si="53" ref="D323:D328">$E233/10*D$128</f>
        <v>0</v>
      </c>
      <c r="E323" s="423">
        <f t="shared" si="52"/>
        <v>0</v>
      </c>
      <c r="F323" s="423">
        <f t="shared" si="52"/>
        <v>0</v>
      </c>
      <c r="G323" s="423">
        <f t="shared" si="52"/>
        <v>0</v>
      </c>
      <c r="H323" s="446">
        <f t="shared" si="51"/>
        <v>0</v>
      </c>
      <c r="I323" s="467"/>
    </row>
    <row r="324" spans="2:9" ht="12.75">
      <c r="B324" s="466"/>
      <c r="C324" s="416" t="s">
        <v>399</v>
      </c>
      <c r="D324" s="423">
        <f t="shared" si="53"/>
        <v>0</v>
      </c>
      <c r="E324" s="423">
        <f t="shared" si="52"/>
        <v>0</v>
      </c>
      <c r="F324" s="423">
        <f t="shared" si="52"/>
        <v>0</v>
      </c>
      <c r="G324" s="423">
        <f t="shared" si="52"/>
        <v>0</v>
      </c>
      <c r="H324" s="446">
        <f t="shared" si="51"/>
        <v>0</v>
      </c>
      <c r="I324" s="467"/>
    </row>
    <row r="325" spans="2:9" ht="12.75">
      <c r="B325" s="466"/>
      <c r="C325" s="416" t="s">
        <v>400</v>
      </c>
      <c r="D325" s="423">
        <f t="shared" si="53"/>
        <v>4915.737</v>
      </c>
      <c r="E325" s="423">
        <f t="shared" si="52"/>
        <v>5063.20911</v>
      </c>
      <c r="F325" s="423">
        <f t="shared" si="52"/>
        <v>4415.32602</v>
      </c>
      <c r="G325" s="423">
        <f t="shared" si="52"/>
        <v>4902.95038</v>
      </c>
      <c r="H325" s="446">
        <f t="shared" si="51"/>
        <v>19297.22251</v>
      </c>
      <c r="I325" s="467"/>
    </row>
    <row r="326" spans="2:9" ht="12.75">
      <c r="B326" s="466"/>
      <c r="C326" s="416" t="s">
        <v>401</v>
      </c>
      <c r="D326" s="423">
        <f t="shared" si="53"/>
        <v>0</v>
      </c>
      <c r="E326" s="423">
        <f t="shared" si="52"/>
        <v>0</v>
      </c>
      <c r="F326" s="423">
        <f t="shared" si="52"/>
        <v>0</v>
      </c>
      <c r="G326" s="423">
        <f t="shared" si="52"/>
        <v>0</v>
      </c>
      <c r="H326" s="446">
        <f t="shared" si="51"/>
        <v>0</v>
      </c>
      <c r="I326" s="467"/>
    </row>
    <row r="327" spans="2:9" ht="12.75">
      <c r="B327" s="466"/>
      <c r="C327" s="416" t="s">
        <v>402</v>
      </c>
      <c r="D327" s="423">
        <f t="shared" si="53"/>
        <v>16782.9525</v>
      </c>
      <c r="E327" s="423">
        <f t="shared" si="52"/>
        <v>17286.441075</v>
      </c>
      <c r="F327" s="423">
        <f t="shared" si="52"/>
        <v>15074.485649999999</v>
      </c>
      <c r="G327" s="423">
        <f t="shared" si="52"/>
        <v>16739.29735</v>
      </c>
      <c r="H327" s="446">
        <f t="shared" si="51"/>
        <v>65883.17657499999</v>
      </c>
      <c r="I327" s="467"/>
    </row>
    <row r="328" spans="2:9" ht="12.75">
      <c r="B328" s="466"/>
      <c r="C328" s="416" t="s">
        <v>383</v>
      </c>
      <c r="D328" s="423">
        <f t="shared" si="53"/>
        <v>0</v>
      </c>
      <c r="E328" s="423">
        <f t="shared" si="52"/>
        <v>0</v>
      </c>
      <c r="F328" s="423">
        <f t="shared" si="52"/>
        <v>0</v>
      </c>
      <c r="G328" s="423">
        <f t="shared" si="52"/>
        <v>0</v>
      </c>
      <c r="H328" s="446">
        <f t="shared" si="51"/>
        <v>0</v>
      </c>
      <c r="I328" s="467"/>
    </row>
    <row r="329" spans="2:9" ht="12.75">
      <c r="B329" s="466"/>
      <c r="C329" s="416" t="s">
        <v>352</v>
      </c>
      <c r="D329" s="427">
        <f>Dados!B104</f>
        <v>0</v>
      </c>
      <c r="E329" s="427">
        <f>Dados!C104</f>
        <v>0</v>
      </c>
      <c r="F329" s="427">
        <f>Dados!D104</f>
        <v>0</v>
      </c>
      <c r="G329" s="427">
        <f>Dados!E104</f>
        <v>0</v>
      </c>
      <c r="H329" s="446">
        <f t="shared" si="51"/>
        <v>0</v>
      </c>
      <c r="I329" s="467"/>
    </row>
    <row r="330" spans="2:9" ht="12.75">
      <c r="B330" s="466"/>
      <c r="C330" s="416" t="s">
        <v>353</v>
      </c>
      <c r="D330" s="423">
        <f>$E239/10*D$128</f>
        <v>0</v>
      </c>
      <c r="E330" s="423">
        <f aca="true" t="shared" si="54" ref="E330:G331">$E240/10*D$128*(1+D$14)</f>
        <v>0</v>
      </c>
      <c r="F330" s="423">
        <f t="shared" si="54"/>
        <v>0</v>
      </c>
      <c r="G330" s="423">
        <f t="shared" si="54"/>
        <v>0</v>
      </c>
      <c r="H330" s="446">
        <f t="shared" si="51"/>
        <v>0</v>
      </c>
      <c r="I330" s="467"/>
    </row>
    <row r="331" spans="2:9" ht="12.75">
      <c r="B331" s="466"/>
      <c r="C331" s="416" t="s">
        <v>354</v>
      </c>
      <c r="D331" s="423">
        <f>$E240/10*D$128</f>
        <v>0</v>
      </c>
      <c r="E331" s="423">
        <f t="shared" si="54"/>
        <v>0</v>
      </c>
      <c r="F331" s="423">
        <f t="shared" si="54"/>
        <v>0</v>
      </c>
      <c r="G331" s="423">
        <f t="shared" si="54"/>
        <v>0</v>
      </c>
      <c r="H331" s="446">
        <f t="shared" si="51"/>
        <v>0</v>
      </c>
      <c r="I331" s="467"/>
    </row>
    <row r="332" spans="2:9" ht="12.75">
      <c r="B332" s="466"/>
      <c r="C332" s="399" t="s">
        <v>379</v>
      </c>
      <c r="D332" s="424">
        <f>SUM(D318:D331)</f>
        <v>126379.377</v>
      </c>
      <c r="E332" s="424">
        <f>SUM(E318:E331)</f>
        <v>116374.07893499998</v>
      </c>
      <c r="F332" s="424">
        <f>SUM(F318:F331)</f>
        <v>120857.18667000001</v>
      </c>
      <c r="G332" s="424">
        <f>SUM(G318:G331)</f>
        <v>126146.12273</v>
      </c>
      <c r="H332" s="446">
        <f>SUM(D332:G332)</f>
        <v>489756.765335</v>
      </c>
      <c r="I332" s="467"/>
    </row>
    <row r="333" spans="2:9" ht="12.75">
      <c r="B333" s="466"/>
      <c r="C333" s="399" t="s">
        <v>384</v>
      </c>
      <c r="D333" s="423"/>
      <c r="E333" s="423"/>
      <c r="F333" s="423"/>
      <c r="G333" s="423"/>
      <c r="H333" s="444"/>
      <c r="I333" s="467"/>
    </row>
    <row r="334" spans="2:9" ht="12.75">
      <c r="B334" s="466"/>
      <c r="C334" s="416" t="s">
        <v>346</v>
      </c>
      <c r="D334" s="423">
        <f aca="true" t="shared" si="55" ref="D334:G347">D302+D318</f>
        <v>6000</v>
      </c>
      <c r="E334" s="423">
        <f t="shared" si="55"/>
        <v>6120</v>
      </c>
      <c r="F334" s="423">
        <f t="shared" si="55"/>
        <v>6120</v>
      </c>
      <c r="G334" s="423">
        <f t="shared" si="55"/>
        <v>6120</v>
      </c>
      <c r="H334" s="446">
        <f>SUM(D334:G334)</f>
        <v>24360</v>
      </c>
      <c r="I334" s="467"/>
    </row>
    <row r="335" spans="2:9" ht="12.75">
      <c r="B335" s="466"/>
      <c r="C335" s="416" t="s">
        <v>413</v>
      </c>
      <c r="D335" s="423">
        <f t="shared" si="55"/>
        <v>0</v>
      </c>
      <c r="E335" s="423">
        <f t="shared" si="55"/>
        <v>0</v>
      </c>
      <c r="F335" s="423">
        <f t="shared" si="55"/>
        <v>0</v>
      </c>
      <c r="G335" s="423">
        <f t="shared" si="55"/>
        <v>0</v>
      </c>
      <c r="H335" s="446">
        <f aca="true" t="shared" si="56" ref="H335:H347">SUM(D335:G335)</f>
        <v>0</v>
      </c>
      <c r="I335" s="467"/>
    </row>
    <row r="336" spans="2:9" ht="12.75">
      <c r="B336" s="466"/>
      <c r="C336" s="416" t="s">
        <v>414</v>
      </c>
      <c r="D336" s="423">
        <f t="shared" si="55"/>
        <v>81787.125</v>
      </c>
      <c r="E336" s="423">
        <f t="shared" si="55"/>
        <v>74922.9525</v>
      </c>
      <c r="F336" s="423">
        <f t="shared" si="55"/>
        <v>79818.25</v>
      </c>
      <c r="G336" s="423">
        <f t="shared" si="55"/>
        <v>81909.25</v>
      </c>
      <c r="H336" s="446">
        <f t="shared" si="56"/>
        <v>318437.5775</v>
      </c>
      <c r="I336" s="467"/>
    </row>
    <row r="337" spans="2:9" ht="12.75">
      <c r="B337" s="466"/>
      <c r="C337" s="416" t="s">
        <v>348</v>
      </c>
      <c r="D337" s="423">
        <f t="shared" si="55"/>
        <v>52893.5625</v>
      </c>
      <c r="E337" s="423">
        <f t="shared" si="55"/>
        <v>49701.47625</v>
      </c>
      <c r="F337" s="423">
        <f t="shared" si="55"/>
        <v>52149.125</v>
      </c>
      <c r="G337" s="423">
        <f t="shared" si="55"/>
        <v>53194.625</v>
      </c>
      <c r="H337" s="446">
        <f t="shared" si="56"/>
        <v>207938.78875</v>
      </c>
      <c r="I337" s="467"/>
    </row>
    <row r="338" spans="2:9" ht="12.75">
      <c r="B338" s="466"/>
      <c r="C338" s="416" t="s">
        <v>381</v>
      </c>
      <c r="D338" s="423">
        <f t="shared" si="55"/>
        <v>0</v>
      </c>
      <c r="E338" s="423">
        <f t="shared" si="55"/>
        <v>0</v>
      </c>
      <c r="F338" s="423">
        <f t="shared" si="55"/>
        <v>0</v>
      </c>
      <c r="G338" s="423">
        <f t="shared" si="55"/>
        <v>0</v>
      </c>
      <c r="H338" s="446">
        <f t="shared" si="56"/>
        <v>0</v>
      </c>
      <c r="I338" s="467"/>
    </row>
    <row r="339" spans="2:9" ht="12.75">
      <c r="B339" s="466"/>
      <c r="C339" s="416" t="s">
        <v>382</v>
      </c>
      <c r="D339" s="423">
        <f t="shared" si="55"/>
        <v>0</v>
      </c>
      <c r="E339" s="423">
        <f t="shared" si="55"/>
        <v>0</v>
      </c>
      <c r="F339" s="423">
        <f t="shared" si="55"/>
        <v>0</v>
      </c>
      <c r="G339" s="423">
        <f t="shared" si="55"/>
        <v>0</v>
      </c>
      <c r="H339" s="446">
        <f t="shared" si="56"/>
        <v>0</v>
      </c>
      <c r="I339" s="467"/>
    </row>
    <row r="340" spans="2:9" ht="12.75">
      <c r="B340" s="466"/>
      <c r="C340" s="416" t="s">
        <v>399</v>
      </c>
      <c r="D340" s="423">
        <f t="shared" si="55"/>
        <v>0</v>
      </c>
      <c r="E340" s="423">
        <f t="shared" si="55"/>
        <v>0</v>
      </c>
      <c r="F340" s="423">
        <f t="shared" si="55"/>
        <v>0</v>
      </c>
      <c r="G340" s="423">
        <f t="shared" si="55"/>
        <v>0</v>
      </c>
      <c r="H340" s="446">
        <f t="shared" si="56"/>
        <v>0</v>
      </c>
      <c r="I340" s="467"/>
    </row>
    <row r="341" spans="2:9" ht="12.75">
      <c r="B341" s="466"/>
      <c r="C341" s="416" t="s">
        <v>400</v>
      </c>
      <c r="D341" s="423">
        <f t="shared" si="55"/>
        <v>11890.737000000001</v>
      </c>
      <c r="E341" s="423">
        <f t="shared" si="55"/>
        <v>12247.45911</v>
      </c>
      <c r="F341" s="423">
        <f t="shared" si="55"/>
        <v>11743.261020000002</v>
      </c>
      <c r="G341" s="423">
        <f t="shared" si="55"/>
        <v>12450.723430000002</v>
      </c>
      <c r="H341" s="446">
        <f t="shared" si="56"/>
        <v>48332.18056000001</v>
      </c>
      <c r="I341" s="467"/>
    </row>
    <row r="342" spans="2:9" ht="12.75">
      <c r="B342" s="466"/>
      <c r="C342" s="416" t="s">
        <v>401</v>
      </c>
      <c r="D342" s="423">
        <f t="shared" si="55"/>
        <v>0</v>
      </c>
      <c r="E342" s="423">
        <f t="shared" si="55"/>
        <v>0</v>
      </c>
      <c r="F342" s="423">
        <f t="shared" si="55"/>
        <v>0</v>
      </c>
      <c r="G342" s="423">
        <f t="shared" si="55"/>
        <v>0</v>
      </c>
      <c r="H342" s="446">
        <f t="shared" si="56"/>
        <v>0</v>
      </c>
      <c r="I342" s="467"/>
    </row>
    <row r="343" spans="2:9" ht="12.75">
      <c r="B343" s="466"/>
      <c r="C343" s="416" t="s">
        <v>402</v>
      </c>
      <c r="D343" s="423">
        <f t="shared" si="55"/>
        <v>29352.9525</v>
      </c>
      <c r="E343" s="423">
        <f t="shared" si="55"/>
        <v>30233.541075</v>
      </c>
      <c r="F343" s="423">
        <f t="shared" si="55"/>
        <v>28280.52765</v>
      </c>
      <c r="G343" s="423">
        <f t="shared" si="55"/>
        <v>30341.520610000003</v>
      </c>
      <c r="H343" s="446">
        <f t="shared" si="56"/>
        <v>118208.54183500001</v>
      </c>
      <c r="I343" s="467"/>
    </row>
    <row r="344" spans="2:9" ht="12.75">
      <c r="B344" s="466"/>
      <c r="C344" s="416" t="s">
        <v>383</v>
      </c>
      <c r="D344" s="423">
        <f t="shared" si="55"/>
        <v>0</v>
      </c>
      <c r="E344" s="423">
        <f t="shared" si="55"/>
        <v>0</v>
      </c>
      <c r="F344" s="423">
        <f t="shared" si="55"/>
        <v>0</v>
      </c>
      <c r="G344" s="423">
        <f t="shared" si="55"/>
        <v>0</v>
      </c>
      <c r="H344" s="446">
        <f t="shared" si="56"/>
        <v>0</v>
      </c>
      <c r="I344" s="467"/>
    </row>
    <row r="345" spans="2:9" ht="12.75">
      <c r="B345" s="466"/>
      <c r="C345" s="416" t="s">
        <v>352</v>
      </c>
      <c r="D345" s="423">
        <f t="shared" si="55"/>
        <v>20</v>
      </c>
      <c r="E345" s="423">
        <f t="shared" si="55"/>
        <v>20</v>
      </c>
      <c r="F345" s="423">
        <f t="shared" si="55"/>
        <v>20</v>
      </c>
      <c r="G345" s="423">
        <f t="shared" si="55"/>
        <v>20</v>
      </c>
      <c r="H345" s="446">
        <f t="shared" si="56"/>
        <v>80</v>
      </c>
      <c r="I345" s="467"/>
    </row>
    <row r="346" spans="2:9" ht="12.75">
      <c r="B346" s="466"/>
      <c r="C346" s="416" t="s">
        <v>353</v>
      </c>
      <c r="D346" s="423">
        <f t="shared" si="55"/>
        <v>2700</v>
      </c>
      <c r="E346" s="423">
        <f t="shared" si="55"/>
        <v>2700</v>
      </c>
      <c r="F346" s="423">
        <f t="shared" si="55"/>
        <v>2700</v>
      </c>
      <c r="G346" s="423">
        <f t="shared" si="55"/>
        <v>2700</v>
      </c>
      <c r="H346" s="446">
        <f t="shared" si="56"/>
        <v>10800</v>
      </c>
      <c r="I346" s="467"/>
    </row>
    <row r="347" spans="2:9" ht="12.75">
      <c r="B347" s="466"/>
      <c r="C347" s="416" t="s">
        <v>354</v>
      </c>
      <c r="D347" s="423">
        <f t="shared" si="55"/>
        <v>4185</v>
      </c>
      <c r="E347" s="423">
        <f t="shared" si="55"/>
        <v>4185</v>
      </c>
      <c r="F347" s="423">
        <f t="shared" si="55"/>
        <v>4185</v>
      </c>
      <c r="G347" s="423">
        <f t="shared" si="55"/>
        <v>4185</v>
      </c>
      <c r="H347" s="446">
        <f t="shared" si="56"/>
        <v>16740</v>
      </c>
      <c r="I347" s="467"/>
    </row>
    <row r="348" spans="2:9" ht="12.75">
      <c r="B348" s="466"/>
      <c r="C348" s="399" t="s">
        <v>379</v>
      </c>
      <c r="D348" s="424">
        <f>SUM(D334:D347)</f>
        <v>188829.37699999998</v>
      </c>
      <c r="E348" s="424">
        <f>SUM(E334:E347)</f>
        <v>180130.42893499997</v>
      </c>
      <c r="F348" s="424">
        <f>SUM(F334:F347)</f>
        <v>185016.16367</v>
      </c>
      <c r="G348" s="424">
        <f>SUM(G334:G347)</f>
        <v>190921.11904000002</v>
      </c>
      <c r="H348" s="446">
        <f>SUM(D348:G348)</f>
        <v>744897.088645</v>
      </c>
      <c r="I348" s="467"/>
    </row>
    <row r="349" spans="2:9" ht="13.5" thickBot="1">
      <c r="B349" s="466"/>
      <c r="C349" s="419"/>
      <c r="D349" s="407"/>
      <c r="E349" s="407"/>
      <c r="F349" s="407"/>
      <c r="G349" s="407"/>
      <c r="H349" s="420"/>
      <c r="I349" s="467"/>
    </row>
    <row r="350" spans="2:9" ht="13.5" thickBot="1">
      <c r="B350" s="466"/>
      <c r="C350" s="20"/>
      <c r="D350" s="20"/>
      <c r="E350" s="20"/>
      <c r="F350" s="20"/>
      <c r="G350" s="20"/>
      <c r="H350" s="20"/>
      <c r="I350" s="467"/>
    </row>
    <row r="351" spans="2:9" ht="12.75">
      <c r="B351" s="466"/>
      <c r="C351" s="421" t="s">
        <v>385</v>
      </c>
      <c r="D351" s="81" t="str">
        <f>$D$16</f>
        <v>Trim 1</v>
      </c>
      <c r="E351" s="81" t="str">
        <f>$E$16</f>
        <v>Trim 2</v>
      </c>
      <c r="F351" s="81" t="str">
        <f>$F$16</f>
        <v>Trim 3</v>
      </c>
      <c r="G351" s="81" t="str">
        <f>$G$16</f>
        <v>Trim 4</v>
      </c>
      <c r="H351" s="462" t="s">
        <v>20</v>
      </c>
      <c r="I351" s="467"/>
    </row>
    <row r="352" spans="2:9" ht="12.75">
      <c r="B352" s="466"/>
      <c r="C352" s="422" t="s">
        <v>415</v>
      </c>
      <c r="D352" s="409"/>
      <c r="E352" s="409"/>
      <c r="F352" s="409"/>
      <c r="G352" s="409"/>
      <c r="H352" s="454"/>
      <c r="I352" s="467"/>
    </row>
    <row r="353" spans="2:9" ht="12.75">
      <c r="B353" s="466"/>
      <c r="C353" s="416"/>
      <c r="D353" s="411"/>
      <c r="E353" s="411"/>
      <c r="F353" s="411"/>
      <c r="G353" s="412"/>
      <c r="H353" s="417"/>
      <c r="I353" s="467"/>
    </row>
    <row r="354" spans="2:9" ht="12.75">
      <c r="B354" s="466"/>
      <c r="C354" s="399" t="s">
        <v>344</v>
      </c>
      <c r="D354" s="400"/>
      <c r="E354" s="400"/>
      <c r="F354" s="400"/>
      <c r="G354" s="400"/>
      <c r="H354" s="401"/>
      <c r="I354" s="467"/>
    </row>
    <row r="355" spans="2:9" ht="12.75">
      <c r="B355" s="466"/>
      <c r="C355" s="416" t="s">
        <v>416</v>
      </c>
      <c r="D355" s="425">
        <f>D200</f>
        <v>14000</v>
      </c>
      <c r="E355" s="425">
        <f>E200</f>
        <v>14126</v>
      </c>
      <c r="F355" s="425">
        <f>F200</f>
        <v>14366.519999999999</v>
      </c>
      <c r="G355" s="425">
        <f>G200</f>
        <v>14498.895599999998</v>
      </c>
      <c r="H355" s="453">
        <f aca="true" t="shared" si="57" ref="H355:H362">SUM(D355:G355)</f>
        <v>56991.41559999999</v>
      </c>
      <c r="I355" s="467"/>
    </row>
    <row r="356" spans="2:9" ht="12.75">
      <c r="B356" s="466"/>
      <c r="C356" s="416" t="s">
        <v>417</v>
      </c>
      <c r="D356" s="425">
        <f>D262</f>
        <v>77800</v>
      </c>
      <c r="E356" s="425">
        <f>E262</f>
        <v>79371.40000000001</v>
      </c>
      <c r="F356" s="425">
        <f>F262</f>
        <v>79461.628</v>
      </c>
      <c r="G356" s="425">
        <f>G262</f>
        <v>79599.67684</v>
      </c>
      <c r="H356" s="453">
        <f t="shared" si="57"/>
        <v>316232.70484</v>
      </c>
      <c r="I356" s="467"/>
    </row>
    <row r="357" spans="2:9" ht="12.75">
      <c r="B357" s="466"/>
      <c r="C357" s="416" t="s">
        <v>422</v>
      </c>
      <c r="D357" s="425">
        <f>D316</f>
        <v>62450</v>
      </c>
      <c r="E357" s="425">
        <f>E316</f>
        <v>63756.35</v>
      </c>
      <c r="F357" s="425">
        <f>F316</f>
        <v>64158.977</v>
      </c>
      <c r="G357" s="425">
        <f>G316</f>
        <v>64774.99631</v>
      </c>
      <c r="H357" s="453">
        <f t="shared" si="57"/>
        <v>255140.32331</v>
      </c>
      <c r="I357" s="467"/>
    </row>
    <row r="358" spans="2:9" ht="12.75">
      <c r="B358" s="466"/>
      <c r="C358" s="399" t="s">
        <v>418</v>
      </c>
      <c r="D358" s="452">
        <f>SUM(D355:D357)</f>
        <v>154250</v>
      </c>
      <c r="E358" s="452">
        <f>SUM(E355:E357)</f>
        <v>157253.75</v>
      </c>
      <c r="F358" s="452">
        <f>SUM(F355:F357)</f>
        <v>157987.125</v>
      </c>
      <c r="G358" s="452">
        <f>SUM(G355:G357)</f>
        <v>158873.56875</v>
      </c>
      <c r="H358" s="453">
        <f t="shared" si="57"/>
        <v>628364.44375</v>
      </c>
      <c r="I358" s="467"/>
    </row>
    <row r="359" spans="2:9" ht="12.75">
      <c r="B359" s="466"/>
      <c r="C359" s="416" t="s">
        <v>419</v>
      </c>
      <c r="D359" s="425">
        <f>D278</f>
        <v>2886.804</v>
      </c>
      <c r="E359" s="425">
        <f>E278</f>
        <v>2618.35476</v>
      </c>
      <c r="F359" s="425">
        <f>F278</f>
        <v>2851.34064</v>
      </c>
      <c r="G359" s="425">
        <f>G278</f>
        <v>2968.38584</v>
      </c>
      <c r="H359" s="453">
        <f t="shared" si="57"/>
        <v>11324.88524</v>
      </c>
      <c r="I359" s="467"/>
    </row>
    <row r="360" spans="2:9" ht="12.75">
      <c r="B360" s="466"/>
      <c r="C360" s="416" t="s">
        <v>423</v>
      </c>
      <c r="D360" s="425">
        <f>D332</f>
        <v>126379.377</v>
      </c>
      <c r="E360" s="425">
        <f>E332</f>
        <v>116374.07893499998</v>
      </c>
      <c r="F360" s="425">
        <f>F332</f>
        <v>120857.18667000001</v>
      </c>
      <c r="G360" s="425">
        <f>G332</f>
        <v>126146.12273</v>
      </c>
      <c r="H360" s="453">
        <f t="shared" si="57"/>
        <v>489756.765335</v>
      </c>
      <c r="I360" s="467"/>
    </row>
    <row r="361" spans="2:9" ht="12.75">
      <c r="B361" s="466"/>
      <c r="C361" s="399" t="s">
        <v>420</v>
      </c>
      <c r="D361" s="452">
        <f>SUM(D359:D360)</f>
        <v>129266.181</v>
      </c>
      <c r="E361" s="452">
        <f>SUM(E359:E360)</f>
        <v>118992.43369499999</v>
      </c>
      <c r="F361" s="452">
        <f>SUM(F359:F360)</f>
        <v>123708.52731</v>
      </c>
      <c r="G361" s="452">
        <f>SUM(G359:G360)</f>
        <v>129114.50857</v>
      </c>
      <c r="H361" s="453">
        <f t="shared" si="57"/>
        <v>501081.65057500004</v>
      </c>
      <c r="I361" s="467"/>
    </row>
    <row r="362" spans="2:9" ht="13.5" thickBot="1">
      <c r="B362" s="466"/>
      <c r="C362" s="429" t="s">
        <v>421</v>
      </c>
      <c r="D362" s="487">
        <f>D358+D361</f>
        <v>283516.181</v>
      </c>
      <c r="E362" s="487">
        <f>E358+E361</f>
        <v>276246.183695</v>
      </c>
      <c r="F362" s="487">
        <f>F358+F361</f>
        <v>281695.65231000003</v>
      </c>
      <c r="G362" s="487">
        <f>G358+G361</f>
        <v>287988.07732000004</v>
      </c>
      <c r="H362" s="488">
        <f t="shared" si="57"/>
        <v>1129446.094325</v>
      </c>
      <c r="I362" s="467"/>
    </row>
    <row r="363" spans="2:9" ht="13.5" thickBot="1">
      <c r="B363" s="466"/>
      <c r="C363" s="20"/>
      <c r="D363" s="20"/>
      <c r="E363" s="20"/>
      <c r="F363" s="20"/>
      <c r="G363" s="20"/>
      <c r="H363" s="20"/>
      <c r="I363" s="467"/>
    </row>
    <row r="364" spans="2:9" ht="12.75">
      <c r="B364" s="466"/>
      <c r="C364" s="421" t="s">
        <v>385</v>
      </c>
      <c r="D364" s="413"/>
      <c r="E364" s="413"/>
      <c r="F364" s="414"/>
      <c r="G364" s="20"/>
      <c r="H364" s="20"/>
      <c r="I364" s="467"/>
    </row>
    <row r="365" spans="2:9" ht="12.75">
      <c r="B365" s="466"/>
      <c r="C365" s="422" t="s">
        <v>438</v>
      </c>
      <c r="D365" s="408" t="s">
        <v>441</v>
      </c>
      <c r="E365" s="441" t="s">
        <v>444</v>
      </c>
      <c r="F365" s="454"/>
      <c r="G365" s="20"/>
      <c r="H365" s="20"/>
      <c r="I365" s="467"/>
    </row>
    <row r="366" spans="2:9" ht="12.75">
      <c r="B366" s="466"/>
      <c r="C366" s="399" t="s">
        <v>443</v>
      </c>
      <c r="D366" s="437">
        <f>Dados!B82/Dados!B$84</f>
        <v>0.3</v>
      </c>
      <c r="E366" s="437">
        <f>Dados!B83/Dados!B84</f>
        <v>0.7</v>
      </c>
      <c r="F366" s="417"/>
      <c r="G366" s="20"/>
      <c r="H366" s="20"/>
      <c r="I366" s="467"/>
    </row>
    <row r="367" spans="2:9" ht="12.75">
      <c r="B367" s="466"/>
      <c r="C367" s="416"/>
      <c r="D367" s="408"/>
      <c r="E367" s="408" t="s">
        <v>441</v>
      </c>
      <c r="F367" s="449" t="s">
        <v>440</v>
      </c>
      <c r="G367" s="20"/>
      <c r="H367" s="20"/>
      <c r="I367" s="467"/>
    </row>
    <row r="368" spans="2:9" ht="12.75">
      <c r="B368" s="466"/>
      <c r="C368" s="399" t="s">
        <v>344</v>
      </c>
      <c r="D368" s="400" t="s">
        <v>20</v>
      </c>
      <c r="E368" s="400" t="s">
        <v>439</v>
      </c>
      <c r="F368" s="401" t="s">
        <v>442</v>
      </c>
      <c r="G368" s="20"/>
      <c r="H368" s="20"/>
      <c r="I368" s="467"/>
    </row>
    <row r="369" spans="2:9" ht="12.75">
      <c r="B369" s="466"/>
      <c r="C369" s="399" t="s">
        <v>424</v>
      </c>
      <c r="D369" s="411"/>
      <c r="E369" s="411"/>
      <c r="F369" s="417"/>
      <c r="G369" s="20"/>
      <c r="H369" s="20"/>
      <c r="I369" s="467"/>
    </row>
    <row r="370" spans="2:9" ht="12.75">
      <c r="B370" s="466"/>
      <c r="C370" s="416" t="s">
        <v>425</v>
      </c>
      <c r="D370" s="423">
        <f>SUM(E370:F370)</f>
        <v>571373.02815</v>
      </c>
      <c r="E370" s="423">
        <f>H262</f>
        <v>316232.70484</v>
      </c>
      <c r="F370" s="446">
        <f>H316</f>
        <v>255140.32331</v>
      </c>
      <c r="G370" s="20"/>
      <c r="H370" s="20"/>
      <c r="I370" s="467"/>
    </row>
    <row r="371" spans="2:9" ht="12.75">
      <c r="B371" s="466"/>
      <c r="C371" s="416" t="s">
        <v>426</v>
      </c>
      <c r="D371" s="423"/>
      <c r="E371" s="423"/>
      <c r="F371" s="446"/>
      <c r="G371" s="20"/>
      <c r="H371" s="20"/>
      <c r="I371" s="467"/>
    </row>
    <row r="372" spans="2:9" ht="12.75">
      <c r="B372" s="466"/>
      <c r="C372" s="416" t="s">
        <v>427</v>
      </c>
      <c r="D372" s="423">
        <f>H200</f>
        <v>56991.41559999999</v>
      </c>
      <c r="E372" s="423">
        <f>D372*D366</f>
        <v>17097.424679999996</v>
      </c>
      <c r="F372" s="446">
        <f>D372*E366</f>
        <v>39893.99091999999</v>
      </c>
      <c r="G372" s="20"/>
      <c r="H372" s="20"/>
      <c r="I372" s="467"/>
    </row>
    <row r="373" spans="2:9" ht="12.75">
      <c r="B373" s="466"/>
      <c r="C373" s="416" t="s">
        <v>428</v>
      </c>
      <c r="D373" s="423">
        <f>I131</f>
        <v>0</v>
      </c>
      <c r="E373" s="423">
        <f>E370+E372</f>
        <v>333330.12952</v>
      </c>
      <c r="F373" s="446">
        <f>E373</f>
        <v>333330.12952</v>
      </c>
      <c r="G373" s="20"/>
      <c r="H373" s="20"/>
      <c r="I373" s="467"/>
    </row>
    <row r="374" spans="2:9" ht="12.75">
      <c r="B374" s="466"/>
      <c r="C374" s="399" t="s">
        <v>429</v>
      </c>
      <c r="D374" s="424">
        <f>SUM(D370:D373)</f>
        <v>628364.44375</v>
      </c>
      <c r="E374" s="424"/>
      <c r="F374" s="446">
        <f>SUM(F370:F373)</f>
        <v>628364.4437500001</v>
      </c>
      <c r="G374" s="20"/>
      <c r="H374" s="20"/>
      <c r="I374" s="467"/>
    </row>
    <row r="375" spans="2:9" ht="12.75">
      <c r="B375" s="466"/>
      <c r="C375" s="399" t="s">
        <v>430</v>
      </c>
      <c r="D375" s="405"/>
      <c r="E375" s="405"/>
      <c r="F375" s="406"/>
      <c r="G375" s="20"/>
      <c r="H375" s="20"/>
      <c r="I375" s="467"/>
    </row>
    <row r="376" spans="2:9" ht="12.75">
      <c r="B376" s="466"/>
      <c r="C376" s="416" t="s">
        <v>425</v>
      </c>
      <c r="D376" s="423">
        <f>SUM(E376:F376)</f>
        <v>501081.650575</v>
      </c>
      <c r="E376" s="423">
        <f>H278</f>
        <v>11324.88524</v>
      </c>
      <c r="F376" s="446">
        <f>H332</f>
        <v>489756.765335</v>
      </c>
      <c r="G376" s="20"/>
      <c r="H376" s="20"/>
      <c r="I376" s="467"/>
    </row>
    <row r="377" spans="2:9" ht="12.75">
      <c r="B377" s="466"/>
      <c r="C377" s="416" t="s">
        <v>426</v>
      </c>
      <c r="D377" s="423"/>
      <c r="E377" s="423"/>
      <c r="F377" s="446"/>
      <c r="G377" s="20"/>
      <c r="H377" s="20"/>
      <c r="I377" s="467"/>
    </row>
    <row r="378" spans="2:9" ht="12.75">
      <c r="B378" s="466"/>
      <c r="C378" s="416" t="s">
        <v>428</v>
      </c>
      <c r="D378" s="423"/>
      <c r="E378" s="423">
        <f>E376</f>
        <v>11324.88524</v>
      </c>
      <c r="F378" s="446">
        <f>E378</f>
        <v>11324.88524</v>
      </c>
      <c r="G378" s="20"/>
      <c r="H378" s="20"/>
      <c r="I378" s="467"/>
    </row>
    <row r="379" spans="2:9" ht="12.75">
      <c r="B379" s="466"/>
      <c r="C379" s="416" t="s">
        <v>431</v>
      </c>
      <c r="D379" s="424">
        <f>SUM(D376:D378)</f>
        <v>501081.650575</v>
      </c>
      <c r="E379" s="423"/>
      <c r="F379" s="446">
        <f>SUM(F376:F378)</f>
        <v>501081.650575</v>
      </c>
      <c r="G379" s="20"/>
      <c r="H379" s="20"/>
      <c r="I379" s="467"/>
    </row>
    <row r="380" spans="2:9" ht="12.75">
      <c r="B380" s="466"/>
      <c r="C380" s="399" t="s">
        <v>432</v>
      </c>
      <c r="D380" s="423"/>
      <c r="E380" s="423"/>
      <c r="F380" s="446">
        <f>F374+F379</f>
        <v>1129446.094325</v>
      </c>
      <c r="G380" s="20"/>
      <c r="H380" s="20"/>
      <c r="I380" s="467"/>
    </row>
    <row r="381" spans="2:9" ht="12.75">
      <c r="B381" s="466"/>
      <c r="C381" s="416"/>
      <c r="D381" s="405"/>
      <c r="E381" s="405"/>
      <c r="F381" s="418"/>
      <c r="G381" s="20"/>
      <c r="H381" s="20"/>
      <c r="I381" s="467"/>
    </row>
    <row r="382" spans="2:9" ht="12.75">
      <c r="B382" s="466"/>
      <c r="C382" s="416" t="s">
        <v>433</v>
      </c>
      <c r="D382" s="405"/>
      <c r="E382" s="405"/>
      <c r="F382" s="444">
        <f>D128+E128+F128+G128</f>
        <v>26194</v>
      </c>
      <c r="G382" s="20"/>
      <c r="H382" s="20"/>
      <c r="I382" s="467"/>
    </row>
    <row r="383" spans="2:9" ht="12.75">
      <c r="B383" s="466"/>
      <c r="C383" s="416"/>
      <c r="D383" s="405"/>
      <c r="E383" s="405"/>
      <c r="F383" s="406"/>
      <c r="G383" s="20"/>
      <c r="H383" s="20"/>
      <c r="I383" s="467"/>
    </row>
    <row r="384" spans="2:9" ht="12.75">
      <c r="B384" s="466"/>
      <c r="C384" s="399" t="s">
        <v>434</v>
      </c>
      <c r="D384" s="405"/>
      <c r="E384" s="405"/>
      <c r="F384" s="406"/>
      <c r="G384" s="20"/>
      <c r="H384" s="20"/>
      <c r="I384" s="467"/>
    </row>
    <row r="385" spans="2:9" ht="12.75">
      <c r="B385" s="466"/>
      <c r="C385" s="416" t="s">
        <v>435</v>
      </c>
      <c r="D385" s="405"/>
      <c r="E385" s="405"/>
      <c r="F385" s="444">
        <f>F374/F382</f>
        <v>23.988869349851115</v>
      </c>
      <c r="G385" s="20"/>
      <c r="H385" s="20"/>
      <c r="I385" s="467"/>
    </row>
    <row r="386" spans="2:9" ht="12.75">
      <c r="B386" s="466"/>
      <c r="C386" s="416" t="s">
        <v>436</v>
      </c>
      <c r="D386" s="405"/>
      <c r="E386" s="405"/>
      <c r="F386" s="444">
        <f>F379/F382</f>
        <v>19.129634671107887</v>
      </c>
      <c r="G386" s="20"/>
      <c r="H386" s="20"/>
      <c r="I386" s="467"/>
    </row>
    <row r="387" spans="2:9" ht="13.5" thickBot="1">
      <c r="B387" s="466"/>
      <c r="C387" s="419" t="s">
        <v>437</v>
      </c>
      <c r="D387" s="407"/>
      <c r="E387" s="407"/>
      <c r="F387" s="456">
        <f>SUM(F385:F386)</f>
        <v>43.118504020959</v>
      </c>
      <c r="G387" s="20"/>
      <c r="H387" s="20"/>
      <c r="I387" s="467"/>
    </row>
    <row r="388" spans="2:9" ht="13.5" thickBot="1">
      <c r="B388" s="466"/>
      <c r="C388" s="20"/>
      <c r="D388" s="20"/>
      <c r="E388" s="20"/>
      <c r="F388" s="20"/>
      <c r="G388" s="20"/>
      <c r="H388" s="20"/>
      <c r="I388" s="467"/>
    </row>
    <row r="389" spans="2:9" ht="12.75">
      <c r="B389" s="466"/>
      <c r="C389" s="421" t="s">
        <v>385</v>
      </c>
      <c r="D389" s="81" t="str">
        <f>$D$16</f>
        <v>Trim 1</v>
      </c>
      <c r="E389" s="81" t="str">
        <f>$E$16</f>
        <v>Trim 2</v>
      </c>
      <c r="F389" s="81" t="str">
        <f>$F$16</f>
        <v>Trim 3</v>
      </c>
      <c r="G389" s="81" t="str">
        <f>$G$16</f>
        <v>Trim 4</v>
      </c>
      <c r="H389" s="462" t="s">
        <v>20</v>
      </c>
      <c r="I389" s="467"/>
    </row>
    <row r="390" spans="2:9" ht="12.75">
      <c r="B390" s="466"/>
      <c r="C390" s="422" t="s">
        <v>449</v>
      </c>
      <c r="D390" s="410"/>
      <c r="E390" s="410"/>
      <c r="F390" s="410"/>
      <c r="G390" s="410"/>
      <c r="H390" s="415"/>
      <c r="I390" s="467"/>
    </row>
    <row r="391" spans="2:9" ht="12.75">
      <c r="B391" s="466"/>
      <c r="C391" s="416"/>
      <c r="D391" s="411"/>
      <c r="E391" s="411"/>
      <c r="F391" s="411"/>
      <c r="G391" s="412"/>
      <c r="H391" s="417"/>
      <c r="I391" s="467"/>
    </row>
    <row r="392" spans="2:9" ht="12.75">
      <c r="B392" s="466"/>
      <c r="C392" s="399" t="s">
        <v>344</v>
      </c>
      <c r="D392" s="400"/>
      <c r="E392" s="400"/>
      <c r="F392" s="400"/>
      <c r="G392" s="400"/>
      <c r="H392" s="401"/>
      <c r="I392" s="467"/>
    </row>
    <row r="393" spans="2:9" ht="12.75">
      <c r="B393" s="466"/>
      <c r="C393" s="399" t="s">
        <v>450</v>
      </c>
      <c r="D393" s="405"/>
      <c r="E393" s="405"/>
      <c r="F393" s="405"/>
      <c r="G393" s="405"/>
      <c r="H393" s="406"/>
      <c r="I393" s="467"/>
    </row>
    <row r="394" spans="2:9" ht="12.75">
      <c r="B394" s="466"/>
      <c r="C394" s="416" t="s">
        <v>451</v>
      </c>
      <c r="D394" s="405"/>
      <c r="E394" s="405"/>
      <c r="F394" s="405"/>
      <c r="G394" s="405"/>
      <c r="H394" s="418"/>
      <c r="I394" s="467"/>
    </row>
    <row r="395" spans="2:9" ht="12.75">
      <c r="B395" s="466"/>
      <c r="C395" s="416" t="s">
        <v>446</v>
      </c>
      <c r="D395" s="423">
        <f>$F387</f>
        <v>43.118504020959</v>
      </c>
      <c r="E395" s="423">
        <f>$F387</f>
        <v>43.118504020959</v>
      </c>
      <c r="F395" s="423">
        <f>$F387</f>
        <v>43.118504020959</v>
      </c>
      <c r="G395" s="423">
        <f>$F387</f>
        <v>43.118504020959</v>
      </c>
      <c r="H395" s="418"/>
      <c r="I395" s="467"/>
    </row>
    <row r="396" spans="2:9" ht="12.75">
      <c r="B396" s="466"/>
      <c r="C396" s="416" t="s">
        <v>447</v>
      </c>
      <c r="D396" s="423">
        <f>D128</f>
        <v>6808.5</v>
      </c>
      <c r="E396" s="423">
        <f>E128</f>
        <v>5995.5</v>
      </c>
      <c r="F396" s="423">
        <f>F128</f>
        <v>6593</v>
      </c>
      <c r="G396" s="423">
        <f>G128</f>
        <v>6797</v>
      </c>
      <c r="H396" s="446">
        <f>SUM(D396:G396)</f>
        <v>26194</v>
      </c>
      <c r="I396" s="467"/>
    </row>
    <row r="397" spans="2:9" ht="12.75">
      <c r="B397" s="466"/>
      <c r="C397" s="416" t="s">
        <v>448</v>
      </c>
      <c r="D397" s="423">
        <f>D395*D396</f>
        <v>293572.33462669933</v>
      </c>
      <c r="E397" s="423">
        <f>E395*E396</f>
        <v>258516.9908576597</v>
      </c>
      <c r="F397" s="423">
        <f>F395*F396</f>
        <v>284280.2970101827</v>
      </c>
      <c r="G397" s="423">
        <f>G395*G396</f>
        <v>293076.4718304583</v>
      </c>
      <c r="H397" s="446">
        <f>SUM(D397:G397)</f>
        <v>1129446.0943250002</v>
      </c>
      <c r="I397" s="467"/>
    </row>
    <row r="398" spans="2:9" ht="13.5" thickBot="1">
      <c r="B398" s="466"/>
      <c r="C398" s="429" t="s">
        <v>452</v>
      </c>
      <c r="D398" s="457">
        <f>D397</f>
        <v>293572.33462669933</v>
      </c>
      <c r="E398" s="457">
        <f>E397</f>
        <v>258516.9908576597</v>
      </c>
      <c r="F398" s="457">
        <f>F397</f>
        <v>284280.2970101827</v>
      </c>
      <c r="G398" s="457">
        <f>G397</f>
        <v>293076.4718304583</v>
      </c>
      <c r="H398" s="458">
        <f>SUM(D398:G398)</f>
        <v>1129446.0943250002</v>
      </c>
      <c r="I398" s="467"/>
    </row>
    <row r="399" spans="2:9" ht="13.5" thickBot="1">
      <c r="B399" s="466"/>
      <c r="C399" s="20"/>
      <c r="D399" s="20"/>
      <c r="E399" s="20"/>
      <c r="F399" s="20"/>
      <c r="G399" s="20"/>
      <c r="H399" s="20"/>
      <c r="I399" s="467"/>
    </row>
    <row r="400" spans="2:9" ht="12.75">
      <c r="B400" s="466"/>
      <c r="C400" s="421" t="s">
        <v>385</v>
      </c>
      <c r="D400" s="81" t="str">
        <f>$D$16</f>
        <v>Trim 1</v>
      </c>
      <c r="E400" s="81" t="str">
        <f>$E$16</f>
        <v>Trim 2</v>
      </c>
      <c r="F400" s="81" t="str">
        <f>$F$16</f>
        <v>Trim 3</v>
      </c>
      <c r="G400" s="81" t="str">
        <f>$G$16</f>
        <v>Trim 4</v>
      </c>
      <c r="H400" s="462" t="s">
        <v>20</v>
      </c>
      <c r="I400" s="467"/>
    </row>
    <row r="401" spans="2:9" ht="12.75">
      <c r="B401" s="466"/>
      <c r="C401" s="422" t="s">
        <v>458</v>
      </c>
      <c r="D401" s="409"/>
      <c r="E401" s="409"/>
      <c r="F401" s="409"/>
      <c r="G401" s="409"/>
      <c r="H401" s="454"/>
      <c r="I401" s="467"/>
    </row>
    <row r="402" spans="2:9" ht="12.75">
      <c r="B402" s="466"/>
      <c r="C402" s="416"/>
      <c r="D402" s="411"/>
      <c r="E402" s="411"/>
      <c r="F402" s="411"/>
      <c r="G402" s="412"/>
      <c r="H402" s="417"/>
      <c r="I402" s="467"/>
    </row>
    <row r="403" spans="2:9" ht="12.75">
      <c r="B403" s="466"/>
      <c r="C403" s="399" t="s">
        <v>344</v>
      </c>
      <c r="D403" s="400"/>
      <c r="E403" s="400"/>
      <c r="F403" s="400"/>
      <c r="G403" s="400"/>
      <c r="H403" s="401"/>
      <c r="I403" s="467"/>
    </row>
    <row r="404" spans="2:9" ht="12.75">
      <c r="B404" s="466"/>
      <c r="C404" s="399" t="s">
        <v>453</v>
      </c>
      <c r="D404" s="405"/>
      <c r="E404" s="405"/>
      <c r="F404" s="405"/>
      <c r="G404" s="405"/>
      <c r="H404" s="406"/>
      <c r="I404" s="467"/>
    </row>
    <row r="405" spans="2:9" ht="12.75">
      <c r="B405" s="466"/>
      <c r="C405" s="399" t="s">
        <v>454</v>
      </c>
      <c r="D405" s="402">
        <f>D362</f>
        <v>283516.181</v>
      </c>
      <c r="E405" s="402">
        <f>E362</f>
        <v>276246.183695</v>
      </c>
      <c r="F405" s="402">
        <f>F362</f>
        <v>281695.65231000003</v>
      </c>
      <c r="G405" s="402">
        <f>G362</f>
        <v>287988.07732000004</v>
      </c>
      <c r="H405" s="404">
        <f>SUM(D405:G405)</f>
        <v>1129446.094325</v>
      </c>
      <c r="I405" s="467"/>
    </row>
    <row r="406" spans="2:9" ht="12.75">
      <c r="B406" s="466"/>
      <c r="C406" s="416" t="s">
        <v>455</v>
      </c>
      <c r="D406" s="403">
        <f>D405</f>
        <v>283516.181</v>
      </c>
      <c r="E406" s="403">
        <f>D406+E405</f>
        <v>559762.364695</v>
      </c>
      <c r="F406" s="403">
        <f>E406+F405</f>
        <v>841458.017005</v>
      </c>
      <c r="G406" s="403">
        <f>F406+G405</f>
        <v>1129446.094325</v>
      </c>
      <c r="H406" s="417"/>
      <c r="I406" s="467"/>
    </row>
    <row r="407" spans="2:9" ht="12.75">
      <c r="B407" s="466"/>
      <c r="C407" s="399" t="s">
        <v>456</v>
      </c>
      <c r="D407" s="411"/>
      <c r="E407" s="411"/>
      <c r="F407" s="411"/>
      <c r="G407" s="411"/>
      <c r="H407" s="417"/>
      <c r="I407" s="467"/>
    </row>
    <row r="408" spans="2:9" ht="12.75">
      <c r="B408" s="466"/>
      <c r="C408" s="399" t="s">
        <v>454</v>
      </c>
      <c r="D408" s="402">
        <f>D398</f>
        <v>293572.33462669933</v>
      </c>
      <c r="E408" s="402">
        <f>E398</f>
        <v>258516.9908576597</v>
      </c>
      <c r="F408" s="402">
        <f>F398</f>
        <v>284280.2970101827</v>
      </c>
      <c r="G408" s="402">
        <f>G398</f>
        <v>293076.4718304583</v>
      </c>
      <c r="H408" s="404">
        <f>SUM(D408:G408)</f>
        <v>1129446.0943250002</v>
      </c>
      <c r="I408" s="467"/>
    </row>
    <row r="409" spans="2:9" ht="12.75">
      <c r="B409" s="466"/>
      <c r="C409" s="416" t="s">
        <v>455</v>
      </c>
      <c r="D409" s="403">
        <f>D408</f>
        <v>293572.33462669933</v>
      </c>
      <c r="E409" s="403">
        <f>D409+E408</f>
        <v>552089.325484359</v>
      </c>
      <c r="F409" s="403">
        <f>E409+F408</f>
        <v>836369.6224945418</v>
      </c>
      <c r="G409" s="403">
        <f>F409+G408</f>
        <v>1129446.0943250002</v>
      </c>
      <c r="H409" s="417"/>
      <c r="I409" s="467"/>
    </row>
    <row r="410" spans="2:9" ht="12.75">
      <c r="B410" s="466"/>
      <c r="C410" s="399" t="s">
        <v>457</v>
      </c>
      <c r="D410" s="411"/>
      <c r="E410" s="411"/>
      <c r="F410" s="411"/>
      <c r="G410" s="411"/>
      <c r="H410" s="417"/>
      <c r="I410" s="467"/>
    </row>
    <row r="411" spans="2:9" ht="12.75">
      <c r="B411" s="466"/>
      <c r="C411" s="399" t="s">
        <v>454</v>
      </c>
      <c r="D411" s="402">
        <f>D405-D408</f>
        <v>-10056.15362669935</v>
      </c>
      <c r="E411" s="402">
        <f>E405-E408</f>
        <v>17729.19283734032</v>
      </c>
      <c r="F411" s="402">
        <f>F405-F408</f>
        <v>-2584.64470018266</v>
      </c>
      <c r="G411" s="402">
        <f>G405-G408</f>
        <v>-5088.394510458282</v>
      </c>
      <c r="H411" s="404">
        <f>SUM(D411:G411)</f>
        <v>2.9103830456733704E-11</v>
      </c>
      <c r="I411" s="467"/>
    </row>
    <row r="412" spans="2:9" ht="12.75">
      <c r="B412" s="466"/>
      <c r="C412" s="416" t="s">
        <v>455</v>
      </c>
      <c r="D412" s="425">
        <f>D411</f>
        <v>-10056.15362669935</v>
      </c>
      <c r="E412" s="425">
        <f>D412+E411</f>
        <v>7673.039210640971</v>
      </c>
      <c r="F412" s="425">
        <f>E412+F411</f>
        <v>5088.394510458311</v>
      </c>
      <c r="G412" s="425">
        <f>F412+G411</f>
        <v>2.9103830456733704E-11</v>
      </c>
      <c r="H412" s="445"/>
      <c r="I412" s="467"/>
    </row>
    <row r="413" spans="2:9" ht="13.5" thickBot="1">
      <c r="B413" s="466"/>
      <c r="C413" s="419"/>
      <c r="D413" s="459"/>
      <c r="E413" s="459"/>
      <c r="F413" s="459"/>
      <c r="G413" s="459"/>
      <c r="H413" s="460"/>
      <c r="I413" s="467"/>
    </row>
    <row r="414" spans="2:9" ht="13.5" thickBot="1">
      <c r="B414" s="470"/>
      <c r="C414" s="471"/>
      <c r="D414" s="471"/>
      <c r="E414" s="471"/>
      <c r="F414" s="471"/>
      <c r="G414" s="471"/>
      <c r="H414" s="471"/>
      <c r="I414" s="472"/>
    </row>
    <row r="415" ht="13.5" thickBot="1"/>
    <row r="416" spans="2:9" ht="12.75">
      <c r="B416" s="463" t="s">
        <v>490</v>
      </c>
      <c r="C416" s="464"/>
      <c r="D416" s="464"/>
      <c r="E416" s="464"/>
      <c r="F416" s="464"/>
      <c r="G416" s="464"/>
      <c r="H416" s="464"/>
      <c r="I416" s="465"/>
    </row>
    <row r="417" spans="2:9" ht="13.5" thickBot="1">
      <c r="B417" s="466"/>
      <c r="C417" s="20"/>
      <c r="D417" s="20"/>
      <c r="E417" s="20"/>
      <c r="F417" s="20"/>
      <c r="G417" s="20"/>
      <c r="H417" s="20"/>
      <c r="I417" s="467"/>
    </row>
    <row r="418" spans="2:9" ht="12.75">
      <c r="B418" s="466"/>
      <c r="C418" s="421" t="s">
        <v>491</v>
      </c>
      <c r="D418" s="81" t="str">
        <f>D400</f>
        <v>Trim 1</v>
      </c>
      <c r="E418" s="81" t="str">
        <f>E400</f>
        <v>Trim 2</v>
      </c>
      <c r="F418" s="81" t="str">
        <f>F400</f>
        <v>Trim 3</v>
      </c>
      <c r="G418" s="82" t="str">
        <f>G400</f>
        <v>Trim 4</v>
      </c>
      <c r="H418" s="20"/>
      <c r="I418" s="467"/>
    </row>
    <row r="419" spans="2:9" ht="12.75">
      <c r="B419" s="466"/>
      <c r="C419" s="42" t="s">
        <v>492</v>
      </c>
      <c r="D419" s="494">
        <f>D102</f>
        <v>2348416.563214242</v>
      </c>
      <c r="E419" s="494">
        <f>E102</f>
        <v>2113870.6887857583</v>
      </c>
      <c r="F419" s="494">
        <f>F102</f>
        <v>2292316.4779200004</v>
      </c>
      <c r="G419" s="496">
        <f>G102</f>
        <v>2369454.0689904</v>
      </c>
      <c r="H419" s="20"/>
      <c r="I419" s="467"/>
    </row>
    <row r="420" spans="2:9" ht="12.75">
      <c r="B420" s="466"/>
      <c r="C420" s="42" t="s">
        <v>493</v>
      </c>
      <c r="D420" s="494">
        <f>D133</f>
        <v>62250.239290909085</v>
      </c>
      <c r="E420" s="494">
        <f>E133</f>
        <v>55913.30481927272</v>
      </c>
      <c r="F420" s="494">
        <f>F133</f>
        <v>61485.517250181816</v>
      </c>
      <c r="G420" s="496">
        <f>G133</f>
        <v>63387.996473454536</v>
      </c>
      <c r="H420" s="20"/>
      <c r="I420" s="467"/>
    </row>
    <row r="421" spans="2:9" ht="12.75">
      <c r="B421" s="466"/>
      <c r="C421" s="42" t="s">
        <v>494</v>
      </c>
      <c r="D421" s="495">
        <f>D398</f>
        <v>293572.33462669933</v>
      </c>
      <c r="E421" s="495">
        <f>E398</f>
        <v>258516.9908576597</v>
      </c>
      <c r="F421" s="495">
        <f>F398</f>
        <v>284280.2970101827</v>
      </c>
      <c r="G421" s="497">
        <f>G398</f>
        <v>293076.4718304583</v>
      </c>
      <c r="H421" s="20"/>
      <c r="I421" s="467"/>
    </row>
    <row r="422" spans="2:9" ht="12.75">
      <c r="B422" s="466"/>
      <c r="C422" s="48" t="s">
        <v>528</v>
      </c>
      <c r="D422" s="501">
        <f>SUM(D419:D421)</f>
        <v>2704239.1371318502</v>
      </c>
      <c r="E422" s="501">
        <f>SUM(E419:E421)</f>
        <v>2428300.984462691</v>
      </c>
      <c r="F422" s="501">
        <f>SUM(F419:F421)</f>
        <v>2638082.292180365</v>
      </c>
      <c r="G422" s="502">
        <f>SUM(G419:G421)</f>
        <v>2725918.537294313</v>
      </c>
      <c r="H422" s="20"/>
      <c r="I422" s="467"/>
    </row>
    <row r="423" spans="2:9" ht="12.75">
      <c r="B423" s="466"/>
      <c r="C423" s="42"/>
      <c r="D423" s="67"/>
      <c r="E423" s="67"/>
      <c r="F423" s="67"/>
      <c r="G423" s="77"/>
      <c r="H423" s="20"/>
      <c r="I423" s="467"/>
    </row>
    <row r="424" spans="2:9" ht="12.75">
      <c r="B424" s="466"/>
      <c r="C424" s="42" t="s">
        <v>507</v>
      </c>
      <c r="D424" s="493">
        <f>Dados!B47</f>
        <v>80</v>
      </c>
      <c r="E424" s="68">
        <f>D437</f>
        <v>39286.97809445558</v>
      </c>
      <c r="F424" s="68">
        <f>E437</f>
        <v>0</v>
      </c>
      <c r="G424" s="165">
        <f>F437</f>
        <v>0</v>
      </c>
      <c r="H424" s="20"/>
      <c r="I424" s="467"/>
    </row>
    <row r="425" spans="2:9" ht="12.75">
      <c r="B425" s="466"/>
      <c r="C425" s="42" t="s">
        <v>530</v>
      </c>
      <c r="D425" s="494">
        <f>D422+D424</f>
        <v>2704319.1371318502</v>
      </c>
      <c r="E425" s="494">
        <f>E422+E424</f>
        <v>2467587.962557147</v>
      </c>
      <c r="F425" s="494">
        <f>F422+F424</f>
        <v>2638082.292180365</v>
      </c>
      <c r="G425" s="496">
        <f>G422+G424</f>
        <v>2725918.537294313</v>
      </c>
      <c r="H425" s="20"/>
      <c r="I425" s="467"/>
    </row>
    <row r="426" spans="2:9" ht="12.75">
      <c r="B426" s="466"/>
      <c r="C426" s="42"/>
      <c r="D426" s="67"/>
      <c r="E426" s="67"/>
      <c r="F426" s="67"/>
      <c r="G426" s="77"/>
      <c r="H426" s="20"/>
      <c r="I426" s="467"/>
    </row>
    <row r="427" spans="2:9" ht="12.75">
      <c r="B427" s="466"/>
      <c r="C427" s="42" t="s">
        <v>495</v>
      </c>
      <c r="D427" s="67"/>
      <c r="E427" s="67"/>
      <c r="F427" s="67"/>
      <c r="G427" s="77"/>
      <c r="H427" s="20"/>
      <c r="I427" s="467"/>
    </row>
    <row r="428" spans="2:9" ht="12.75">
      <c r="B428" s="466"/>
      <c r="C428" s="42" t="s">
        <v>508</v>
      </c>
      <c r="D428" s="67">
        <f>D51</f>
        <v>150</v>
      </c>
      <c r="E428" s="67">
        <f>D435</f>
        <v>200</v>
      </c>
      <c r="F428" s="67">
        <f>E435</f>
        <v>0</v>
      </c>
      <c r="G428" s="77">
        <f>F435</f>
        <v>0</v>
      </c>
      <c r="H428" s="20"/>
      <c r="I428" s="467"/>
    </row>
    <row r="429" spans="2:9" ht="12.75">
      <c r="B429" s="466"/>
      <c r="C429" s="42" t="s">
        <v>496</v>
      </c>
      <c r="D429" s="67">
        <f>D52</f>
        <v>13617</v>
      </c>
      <c r="E429" s="67">
        <f>E52</f>
        <v>11991</v>
      </c>
      <c r="F429" s="67">
        <f>F52</f>
        <v>13186</v>
      </c>
      <c r="G429" s="77">
        <f>G52</f>
        <v>13594</v>
      </c>
      <c r="H429" s="20"/>
      <c r="I429" s="467"/>
    </row>
    <row r="430" spans="2:9" ht="12.75">
      <c r="B430" s="466"/>
      <c r="C430" s="42" t="s">
        <v>529</v>
      </c>
      <c r="D430" s="67">
        <f>D428+D429</f>
        <v>13767</v>
      </c>
      <c r="E430" s="67">
        <f>E428+E429</f>
        <v>12191</v>
      </c>
      <c r="F430" s="67">
        <f>F428+F429</f>
        <v>13186</v>
      </c>
      <c r="G430" s="77">
        <f>G428+G429</f>
        <v>13594</v>
      </c>
      <c r="H430" s="20"/>
      <c r="I430" s="467"/>
    </row>
    <row r="431" spans="2:9" ht="12.75">
      <c r="B431" s="466"/>
      <c r="C431" s="42"/>
      <c r="D431" s="67"/>
      <c r="E431" s="67"/>
      <c r="F431" s="67"/>
      <c r="G431" s="77"/>
      <c r="H431" s="20"/>
      <c r="I431" s="467"/>
    </row>
    <row r="432" spans="2:9" ht="12.75">
      <c r="B432" s="466"/>
      <c r="C432" s="42" t="s">
        <v>497</v>
      </c>
      <c r="D432" s="68">
        <f>D425/D430</f>
        <v>196.4348904722779</v>
      </c>
      <c r="E432" s="68">
        <f>E425/E430</f>
        <v>202.41062772185603</v>
      </c>
      <c r="F432" s="68">
        <f>F425/F430</f>
        <v>200.0669112832068</v>
      </c>
      <c r="G432" s="165">
        <f>G425/G430</f>
        <v>200.52365288320678</v>
      </c>
      <c r="H432" s="20"/>
      <c r="I432" s="467"/>
    </row>
    <row r="433" spans="2:9" ht="12.75">
      <c r="B433" s="466"/>
      <c r="C433" s="42"/>
      <c r="D433" s="67"/>
      <c r="E433" s="67"/>
      <c r="F433" s="67"/>
      <c r="G433" s="77"/>
      <c r="H433" s="20"/>
      <c r="I433" s="467"/>
    </row>
    <row r="434" spans="2:9" ht="12.75">
      <c r="B434" s="466"/>
      <c r="C434" s="42" t="s">
        <v>498</v>
      </c>
      <c r="D434" s="67"/>
      <c r="E434" s="67"/>
      <c r="F434" s="67"/>
      <c r="G434" s="77"/>
      <c r="H434" s="20"/>
      <c r="I434" s="467"/>
    </row>
    <row r="435" spans="2:9" ht="12.75">
      <c r="B435" s="466"/>
      <c r="C435" s="42" t="s">
        <v>505</v>
      </c>
      <c r="D435" s="67">
        <f>D50</f>
        <v>200</v>
      </c>
      <c r="E435" s="67">
        <f>E50</f>
        <v>0</v>
      </c>
      <c r="F435" s="67">
        <f>F50</f>
        <v>0</v>
      </c>
      <c r="G435" s="77">
        <f>G50</f>
        <v>0</v>
      </c>
      <c r="H435" s="20"/>
      <c r="I435" s="467"/>
    </row>
    <row r="436" spans="2:9" ht="12.75">
      <c r="B436" s="466"/>
      <c r="C436" s="42" t="s">
        <v>499</v>
      </c>
      <c r="D436" s="68">
        <f>D432</f>
        <v>196.4348904722779</v>
      </c>
      <c r="E436" s="68">
        <f>E432</f>
        <v>202.41062772185603</v>
      </c>
      <c r="F436" s="68">
        <f>F432</f>
        <v>200.0669112832068</v>
      </c>
      <c r="G436" s="165">
        <f>G432</f>
        <v>200.52365288320678</v>
      </c>
      <c r="H436" s="20"/>
      <c r="I436" s="467"/>
    </row>
    <row r="437" spans="2:9" ht="12.75">
      <c r="B437" s="466"/>
      <c r="C437" s="48" t="s">
        <v>503</v>
      </c>
      <c r="D437" s="49">
        <f>D435*D436</f>
        <v>39286.97809445558</v>
      </c>
      <c r="E437" s="49">
        <f>E435*E436</f>
        <v>0</v>
      </c>
      <c r="F437" s="49">
        <f>F435*F436</f>
        <v>0</v>
      </c>
      <c r="G437" s="121">
        <f>G435*G436</f>
        <v>0</v>
      </c>
      <c r="H437" s="20"/>
      <c r="I437" s="467"/>
    </row>
    <row r="438" spans="2:9" ht="12.75">
      <c r="B438" s="466"/>
      <c r="C438" s="42"/>
      <c r="D438" s="67"/>
      <c r="E438" s="67"/>
      <c r="F438" s="67"/>
      <c r="G438" s="77"/>
      <c r="H438" s="20"/>
      <c r="I438" s="467"/>
    </row>
    <row r="439" spans="2:9" ht="12.75">
      <c r="B439" s="466"/>
      <c r="C439" s="42" t="s">
        <v>504</v>
      </c>
      <c r="D439" s="67"/>
      <c r="E439" s="67"/>
      <c r="F439" s="67"/>
      <c r="G439" s="77"/>
      <c r="H439" s="20"/>
      <c r="I439" s="467"/>
    </row>
    <row r="440" spans="2:9" ht="12.75">
      <c r="B440" s="466"/>
      <c r="C440" s="42" t="s">
        <v>506</v>
      </c>
      <c r="D440" s="67">
        <f>D430-D435</f>
        <v>13567</v>
      </c>
      <c r="E440" s="67">
        <f>E430-E435</f>
        <v>12191</v>
      </c>
      <c r="F440" s="67">
        <f>F430-F435</f>
        <v>13186</v>
      </c>
      <c r="G440" s="77">
        <f>G430-G435</f>
        <v>13594</v>
      </c>
      <c r="H440" s="20"/>
      <c r="I440" s="467"/>
    </row>
    <row r="441" spans="2:9" ht="12.75">
      <c r="B441" s="466"/>
      <c r="C441" s="42" t="s">
        <v>499</v>
      </c>
      <c r="D441" s="68">
        <f>D432</f>
        <v>196.4348904722779</v>
      </c>
      <c r="E441" s="68">
        <f>E432</f>
        <v>202.41062772185603</v>
      </c>
      <c r="F441" s="68">
        <f>F432</f>
        <v>200.0669112832068</v>
      </c>
      <c r="G441" s="165">
        <f>G432</f>
        <v>200.52365288320678</v>
      </c>
      <c r="H441" s="20"/>
      <c r="I441" s="467"/>
    </row>
    <row r="442" spans="2:9" ht="13.5" thickBot="1">
      <c r="B442" s="466"/>
      <c r="C442" s="50" t="s">
        <v>532</v>
      </c>
      <c r="D442" s="503">
        <f>D440*D441</f>
        <v>2665032.1590373944</v>
      </c>
      <c r="E442" s="503">
        <f>E440*E441</f>
        <v>2467587.962557147</v>
      </c>
      <c r="F442" s="503">
        <f>F440*F441</f>
        <v>2638082.292180365</v>
      </c>
      <c r="G442" s="504">
        <f>G440*G441</f>
        <v>2725918.537294313</v>
      </c>
      <c r="H442" s="20"/>
      <c r="I442" s="467"/>
    </row>
    <row r="443" spans="2:9" ht="13.5" thickBot="1">
      <c r="B443" s="466"/>
      <c r="C443" s="20"/>
      <c r="D443" s="20"/>
      <c r="E443" s="20"/>
      <c r="F443" s="20"/>
      <c r="G443" s="20"/>
      <c r="H443" s="20"/>
      <c r="I443" s="467"/>
    </row>
    <row r="444" spans="2:9" ht="12.75">
      <c r="B444" s="466"/>
      <c r="C444" s="46" t="s">
        <v>509</v>
      </c>
      <c r="D444" s="81" t="str">
        <f>D418</f>
        <v>Trim 1</v>
      </c>
      <c r="E444" s="81" t="str">
        <f>E418</f>
        <v>Trim 2</v>
      </c>
      <c r="F444" s="81" t="str">
        <f>F418</f>
        <v>Trim 3</v>
      </c>
      <c r="G444" s="82" t="str">
        <f>G418</f>
        <v>Trim 4</v>
      </c>
      <c r="H444" s="20"/>
      <c r="I444" s="467"/>
    </row>
    <row r="445" spans="2:9" ht="12.75">
      <c r="B445" s="466"/>
      <c r="C445" s="48" t="s">
        <v>510</v>
      </c>
      <c r="D445" s="56"/>
      <c r="E445" s="56"/>
      <c r="F445" s="56"/>
      <c r="G445" s="139"/>
      <c r="H445" s="20"/>
      <c r="I445" s="467"/>
    </row>
    <row r="446" spans="2:9" ht="12.75">
      <c r="B446" s="466"/>
      <c r="C446" s="42" t="s">
        <v>527</v>
      </c>
      <c r="D446" s="67">
        <f aca="true" t="shared" si="58" ref="D446:G447">D48</f>
        <v>100</v>
      </c>
      <c r="E446" s="67">
        <f t="shared" si="58"/>
        <v>2667</v>
      </c>
      <c r="F446" s="67">
        <f t="shared" si="58"/>
        <v>2858</v>
      </c>
      <c r="G446" s="77">
        <f t="shared" si="58"/>
        <v>3044</v>
      </c>
      <c r="H446" s="20"/>
      <c r="I446" s="467"/>
    </row>
    <row r="447" spans="2:9" ht="12.75">
      <c r="B447" s="466"/>
      <c r="C447" s="42" t="s">
        <v>525</v>
      </c>
      <c r="D447" s="67">
        <f t="shared" si="58"/>
        <v>13567</v>
      </c>
      <c r="E447" s="67">
        <f t="shared" si="58"/>
        <v>12191</v>
      </c>
      <c r="F447" s="67">
        <f t="shared" si="58"/>
        <v>13186</v>
      </c>
      <c r="G447" s="77">
        <f t="shared" si="58"/>
        <v>13594</v>
      </c>
      <c r="H447" s="20"/>
      <c r="I447" s="467"/>
    </row>
    <row r="448" spans="2:9" ht="12.75">
      <c r="B448" s="466"/>
      <c r="C448" s="42" t="s">
        <v>526</v>
      </c>
      <c r="D448" s="67">
        <f>D446+D447</f>
        <v>13667</v>
      </c>
      <c r="E448" s="67">
        <f>E446+E447</f>
        <v>14858</v>
      </c>
      <c r="F448" s="67">
        <f>F446+F447</f>
        <v>16044</v>
      </c>
      <c r="G448" s="77">
        <f>G446+G447</f>
        <v>16638</v>
      </c>
      <c r="H448" s="20"/>
      <c r="I448" s="467"/>
    </row>
    <row r="449" spans="2:9" ht="12.75">
      <c r="B449" s="466"/>
      <c r="C449" s="42" t="s">
        <v>511</v>
      </c>
      <c r="D449" s="67">
        <f>D45</f>
        <v>11000</v>
      </c>
      <c r="E449" s="67">
        <f>E45</f>
        <v>12000</v>
      </c>
      <c r="F449" s="67">
        <f>F45</f>
        <v>13000</v>
      </c>
      <c r="G449" s="77">
        <f>G45</f>
        <v>14000</v>
      </c>
      <c r="H449" s="20"/>
      <c r="I449" s="467"/>
    </row>
    <row r="450" spans="2:9" ht="12.75">
      <c r="B450" s="466"/>
      <c r="C450" s="42" t="s">
        <v>512</v>
      </c>
      <c r="D450" s="67">
        <f>D448-D449</f>
        <v>2667</v>
      </c>
      <c r="E450" s="67">
        <f>E448-E449</f>
        <v>2858</v>
      </c>
      <c r="F450" s="67">
        <f>F448-F449</f>
        <v>3044</v>
      </c>
      <c r="G450" s="77">
        <f>G448-G449</f>
        <v>2638</v>
      </c>
      <c r="H450" s="20"/>
      <c r="I450" s="467"/>
    </row>
    <row r="451" spans="2:9" ht="12.75">
      <c r="B451" s="466"/>
      <c r="C451" s="42"/>
      <c r="D451" s="67"/>
      <c r="E451" s="67"/>
      <c r="F451" s="67"/>
      <c r="G451" s="77"/>
      <c r="H451" s="20"/>
      <c r="I451" s="467"/>
    </row>
    <row r="452" spans="2:9" ht="12.75">
      <c r="B452" s="466"/>
      <c r="C452" s="48" t="s">
        <v>513</v>
      </c>
      <c r="D452" s="68"/>
      <c r="E452" s="68"/>
      <c r="F452" s="68"/>
      <c r="G452" s="165"/>
      <c r="H452" s="20"/>
      <c r="I452" s="467"/>
    </row>
    <row r="453" spans="2:9" ht="12.75">
      <c r="B453" s="466"/>
      <c r="C453" s="42" t="s">
        <v>524</v>
      </c>
      <c r="D453" s="493">
        <f>Dados!B45</f>
        <v>100</v>
      </c>
      <c r="E453" s="68">
        <f>D455</f>
        <v>195.72928653233296</v>
      </c>
      <c r="F453" s="68">
        <f>E455</f>
        <v>201.2113319248135</v>
      </c>
      <c r="G453" s="165">
        <f>F455</f>
        <v>200.2707728011395</v>
      </c>
      <c r="H453" s="20"/>
      <c r="I453" s="467"/>
    </row>
    <row r="454" spans="2:9" ht="12.75">
      <c r="B454" s="466"/>
      <c r="C454" s="42" t="s">
        <v>514</v>
      </c>
      <c r="D454" s="68">
        <f>D432</f>
        <v>196.4348904722779</v>
      </c>
      <c r="E454" s="68">
        <f>E432</f>
        <v>202.41062772185603</v>
      </c>
      <c r="F454" s="68">
        <f>F432</f>
        <v>200.0669112832068</v>
      </c>
      <c r="G454" s="165">
        <f>G432</f>
        <v>200.52365288320678</v>
      </c>
      <c r="H454" s="20"/>
      <c r="I454" s="467"/>
    </row>
    <row r="455" spans="2:9" ht="12.75">
      <c r="B455" s="466"/>
      <c r="C455" s="42" t="s">
        <v>515</v>
      </c>
      <c r="D455" s="68">
        <f>(D453*D446+D454*D447)/D448</f>
        <v>195.72928653233296</v>
      </c>
      <c r="E455" s="68">
        <f>(E453*E446+E454*E447)/E448</f>
        <v>201.2113319248135</v>
      </c>
      <c r="F455" s="68">
        <f>(F453*F446+F454*F447)/F448</f>
        <v>200.2707728011395</v>
      </c>
      <c r="G455" s="165">
        <f>(G453*G446+G454*G447)/G448</f>
        <v>200.4773872881946</v>
      </c>
      <c r="H455" s="20"/>
      <c r="I455" s="467"/>
    </row>
    <row r="456" spans="2:9" ht="12.75">
      <c r="B456" s="466"/>
      <c r="C456" s="42"/>
      <c r="D456" s="67"/>
      <c r="E456" s="67"/>
      <c r="F456" s="67"/>
      <c r="G456" s="77"/>
      <c r="H456" s="20"/>
      <c r="I456" s="467"/>
    </row>
    <row r="457" spans="2:9" ht="12.75">
      <c r="B457" s="466"/>
      <c r="C457" s="48" t="s">
        <v>516</v>
      </c>
      <c r="D457" s="67"/>
      <c r="E457" s="67"/>
      <c r="F457" s="67"/>
      <c r="G457" s="77"/>
      <c r="H457" s="20"/>
      <c r="I457" s="467"/>
    </row>
    <row r="458" spans="2:9" ht="12.75">
      <c r="B458" s="466"/>
      <c r="C458" s="42" t="s">
        <v>527</v>
      </c>
      <c r="D458" s="494">
        <f>D453*D446</f>
        <v>10000</v>
      </c>
      <c r="E458" s="494">
        <f>E453*E446</f>
        <v>522010.00718173204</v>
      </c>
      <c r="F458" s="494">
        <f>F453*F446</f>
        <v>575061.9866411169</v>
      </c>
      <c r="G458" s="496">
        <f>G453*G446</f>
        <v>609624.2324066686</v>
      </c>
      <c r="H458" s="20"/>
      <c r="I458" s="467"/>
    </row>
    <row r="459" spans="2:9" ht="12.75">
      <c r="B459" s="466"/>
      <c r="C459" s="42" t="s">
        <v>531</v>
      </c>
      <c r="D459" s="494">
        <f>D442</f>
        <v>2665032.1590373944</v>
      </c>
      <c r="E459" s="494">
        <f>E442</f>
        <v>2467587.962557147</v>
      </c>
      <c r="F459" s="494">
        <f>F442</f>
        <v>2638082.292180365</v>
      </c>
      <c r="G459" s="496">
        <f>G442</f>
        <v>2725918.537294313</v>
      </c>
      <c r="H459" s="20"/>
      <c r="I459" s="467"/>
    </row>
    <row r="460" spans="2:9" ht="12.75">
      <c r="B460" s="466"/>
      <c r="C460" s="42" t="s">
        <v>517</v>
      </c>
      <c r="D460" s="494">
        <f>D458+D459</f>
        <v>2675032.1590373944</v>
      </c>
      <c r="E460" s="494">
        <f>E458+E459</f>
        <v>2989597.969738879</v>
      </c>
      <c r="F460" s="494">
        <f>F458+F459</f>
        <v>3213144.278821482</v>
      </c>
      <c r="G460" s="496">
        <f>G458+G459</f>
        <v>3335542.7697009817</v>
      </c>
      <c r="H460" s="20"/>
      <c r="I460" s="467"/>
    </row>
    <row r="461" spans="2:9" ht="12.75">
      <c r="B461" s="466"/>
      <c r="C461" s="48" t="s">
        <v>518</v>
      </c>
      <c r="D461" s="501">
        <f>D449*D455</f>
        <v>2153022.1518556625</v>
      </c>
      <c r="E461" s="501">
        <f>E449*E455</f>
        <v>2414535.983097762</v>
      </c>
      <c r="F461" s="501">
        <f>F449*F455</f>
        <v>2603520.0464148135</v>
      </c>
      <c r="G461" s="502">
        <f>G449*G455</f>
        <v>2806683.422034724</v>
      </c>
      <c r="H461" s="20"/>
      <c r="I461" s="467"/>
    </row>
    <row r="462" spans="2:9" ht="13.5" thickBot="1">
      <c r="B462" s="466"/>
      <c r="C462" s="64" t="s">
        <v>533</v>
      </c>
      <c r="D462" s="498">
        <f>D460-D461</f>
        <v>522010.007181732</v>
      </c>
      <c r="E462" s="498">
        <f>E460-E461</f>
        <v>575061.9866411169</v>
      </c>
      <c r="F462" s="498">
        <f>F460-F461</f>
        <v>609624.2324066684</v>
      </c>
      <c r="G462" s="499">
        <f>G460-G461</f>
        <v>528859.3476662575</v>
      </c>
      <c r="H462" s="20"/>
      <c r="I462" s="467"/>
    </row>
    <row r="463" spans="2:9" ht="13.5" thickBot="1">
      <c r="B463" s="470"/>
      <c r="C463" s="471"/>
      <c r="D463" s="471"/>
      <c r="E463" s="471"/>
      <c r="F463" s="471"/>
      <c r="G463" s="471"/>
      <c r="H463" s="471"/>
      <c r="I463" s="472"/>
    </row>
    <row r="464" spans="1:9" ht="13.5" thickBot="1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2:9" ht="12.75">
      <c r="B465" s="463" t="s">
        <v>534</v>
      </c>
      <c r="C465" s="464"/>
      <c r="D465" s="464"/>
      <c r="E465" s="464"/>
      <c r="F465" s="464"/>
      <c r="G465" s="464"/>
      <c r="H465" s="464"/>
      <c r="I465" s="465"/>
    </row>
    <row r="466" spans="2:9" ht="13.5" thickBot="1">
      <c r="B466" s="466"/>
      <c r="C466" s="20"/>
      <c r="D466" s="20"/>
      <c r="E466" s="20"/>
      <c r="F466" s="20"/>
      <c r="G466" s="20"/>
      <c r="H466" s="20"/>
      <c r="I466" s="467"/>
    </row>
    <row r="467" spans="2:9" ht="12.75">
      <c r="B467" s="466"/>
      <c r="C467" s="421" t="s">
        <v>535</v>
      </c>
      <c r="D467" s="81" t="str">
        <f>$D$16</f>
        <v>Trim 1</v>
      </c>
      <c r="E467" s="81" t="str">
        <f>$E$16</f>
        <v>Trim 2</v>
      </c>
      <c r="F467" s="81" t="str">
        <f>$F$16</f>
        <v>Trim 3</v>
      </c>
      <c r="G467" s="81" t="str">
        <f>$G$16</f>
        <v>Trim 4</v>
      </c>
      <c r="H467" s="462" t="s">
        <v>20</v>
      </c>
      <c r="I467" s="467"/>
    </row>
    <row r="468" spans="2:9" ht="12.75">
      <c r="B468" s="466"/>
      <c r="C468" s="422" t="s">
        <v>536</v>
      </c>
      <c r="D468" s="410"/>
      <c r="E468" s="410"/>
      <c r="F468" s="410"/>
      <c r="G468" s="410"/>
      <c r="H468" s="415"/>
      <c r="I468" s="467"/>
    </row>
    <row r="469" spans="2:9" ht="12.75">
      <c r="B469" s="466"/>
      <c r="C469" s="399" t="s">
        <v>409</v>
      </c>
      <c r="D469" s="411"/>
      <c r="E469" s="411"/>
      <c r="F469" s="411"/>
      <c r="G469" s="412"/>
      <c r="H469" s="417"/>
      <c r="I469" s="467"/>
    </row>
    <row r="470" spans="2:9" ht="12.75">
      <c r="B470" s="466"/>
      <c r="C470" s="399" t="s">
        <v>344</v>
      </c>
      <c r="D470" s="400"/>
      <c r="E470" s="400"/>
      <c r="F470" s="400"/>
      <c r="G470" s="400"/>
      <c r="H470" s="401"/>
      <c r="I470" s="467"/>
    </row>
    <row r="471" spans="2:9" ht="12.75">
      <c r="B471" s="466"/>
      <c r="C471" s="399" t="s">
        <v>550</v>
      </c>
      <c r="D471" s="405"/>
      <c r="E471" s="405"/>
      <c r="F471" s="405"/>
      <c r="G471" s="405"/>
      <c r="H471" s="406"/>
      <c r="I471" s="467"/>
    </row>
    <row r="472" spans="2:9" ht="12.75">
      <c r="B472" s="466"/>
      <c r="C472" s="416" t="s">
        <v>386</v>
      </c>
      <c r="D472" s="423">
        <f>3*Dados!$B108*Dados!B$25</f>
        <v>12000</v>
      </c>
      <c r="E472" s="423">
        <f>3*Dados!$B108*Dados!C$25</f>
        <v>12240</v>
      </c>
      <c r="F472" s="423">
        <f>3*Dados!$B108*Dados!D$25</f>
        <v>12240</v>
      </c>
      <c r="G472" s="423">
        <f>3*Dados!$B108*Dados!E$25</f>
        <v>12240</v>
      </c>
      <c r="H472" s="446">
        <f>SUM(D472:G472)</f>
        <v>48720</v>
      </c>
      <c r="I472" s="467"/>
    </row>
    <row r="473" spans="2:10" ht="12.75">
      <c r="B473" s="466"/>
      <c r="C473" s="416" t="s">
        <v>410</v>
      </c>
      <c r="D473" s="423">
        <f>3*Dados!$B109*Dados!B$25</f>
        <v>0</v>
      </c>
      <c r="E473" s="423">
        <f>3*Dados!$B109*Dados!C$25</f>
        <v>0</v>
      </c>
      <c r="F473" s="423">
        <f>3*Dados!$B109*Dados!D$25</f>
        <v>0</v>
      </c>
      <c r="G473" s="423">
        <f>3*Dados!$B109*Dados!E$25</f>
        <v>0</v>
      </c>
      <c r="H473" s="446">
        <f aca="true" t="shared" si="59" ref="H473:H487">SUM(D473:G473)</f>
        <v>0</v>
      </c>
      <c r="I473" s="467"/>
      <c r="J473" s="20"/>
    </row>
    <row r="474" spans="2:9" ht="12.75">
      <c r="B474" s="466"/>
      <c r="C474" s="416" t="s">
        <v>537</v>
      </c>
      <c r="D474" s="423">
        <f>3*Dados!$B110*Dados!B$25</f>
        <v>0</v>
      </c>
      <c r="E474" s="423">
        <f>3*Dados!$B110*Dados!C$25</f>
        <v>0</v>
      </c>
      <c r="F474" s="423">
        <f>3*Dados!$B110*Dados!D$25</f>
        <v>0</v>
      </c>
      <c r="G474" s="423">
        <f>3*Dados!$B110*Dados!E$25</f>
        <v>0</v>
      </c>
      <c r="H474" s="446">
        <f t="shared" si="59"/>
        <v>0</v>
      </c>
      <c r="I474" s="467"/>
    </row>
    <row r="475" spans="2:9" ht="12.75">
      <c r="B475" s="466"/>
      <c r="C475" s="416" t="s">
        <v>373</v>
      </c>
      <c r="D475" s="423">
        <f>3*Dados!$B111*Dados!B$25</f>
        <v>0</v>
      </c>
      <c r="E475" s="423">
        <f>3*Dados!$B111*Dados!C$25</f>
        <v>0</v>
      </c>
      <c r="F475" s="423">
        <f>3*Dados!$B111*Dados!D$25</f>
        <v>0</v>
      </c>
      <c r="G475" s="423">
        <f>3*Dados!$B111*Dados!E$25</f>
        <v>0</v>
      </c>
      <c r="H475" s="446">
        <f t="shared" si="59"/>
        <v>0</v>
      </c>
      <c r="I475" s="467"/>
    </row>
    <row r="476" spans="2:9" ht="12.75">
      <c r="B476" s="466"/>
      <c r="C476" s="416" t="s">
        <v>374</v>
      </c>
      <c r="D476" s="423">
        <f>3*Dados!$B112*Dados!B$25</f>
        <v>0</v>
      </c>
      <c r="E476" s="423">
        <f>3*Dados!$B112*Dados!C$25</f>
        <v>0</v>
      </c>
      <c r="F476" s="423">
        <f>3*Dados!$B112*Dados!D$25</f>
        <v>0</v>
      </c>
      <c r="G476" s="423">
        <f>3*Dados!$B112*Dados!E$25</f>
        <v>0</v>
      </c>
      <c r="H476" s="446">
        <f t="shared" si="59"/>
        <v>0</v>
      </c>
      <c r="I476" s="467"/>
    </row>
    <row r="477" spans="2:9" ht="12.75">
      <c r="B477" s="466"/>
      <c r="C477" s="416" t="s">
        <v>375</v>
      </c>
      <c r="D477" s="423">
        <f>3*Dados!$B113*Dados!B$25</f>
        <v>0</v>
      </c>
      <c r="E477" s="423">
        <f>3*Dados!$B113*Dados!C$25</f>
        <v>0</v>
      </c>
      <c r="F477" s="423">
        <f>3*Dados!$B113*Dados!D$25</f>
        <v>0</v>
      </c>
      <c r="G477" s="423">
        <f>3*Dados!$B113*Dados!E$25</f>
        <v>0</v>
      </c>
      <c r="H477" s="446">
        <f t="shared" si="59"/>
        <v>0</v>
      </c>
      <c r="I477" s="467"/>
    </row>
    <row r="478" spans="2:9" ht="12.75">
      <c r="B478" s="466"/>
      <c r="C478" s="416" t="s">
        <v>486</v>
      </c>
      <c r="D478" s="423">
        <f>3*Dados!$B114*Dados!B$25</f>
        <v>0</v>
      </c>
      <c r="E478" s="423">
        <f>3*Dados!$B114*Dados!C$25</f>
        <v>0</v>
      </c>
      <c r="F478" s="423">
        <f>3*Dados!$B114*Dados!D$25</f>
        <v>0</v>
      </c>
      <c r="G478" s="423">
        <f>3*Dados!$B114*Dados!E$25</f>
        <v>0</v>
      </c>
      <c r="H478" s="446">
        <f t="shared" si="59"/>
        <v>0</v>
      </c>
      <c r="I478" s="467"/>
    </row>
    <row r="479" spans="2:9" ht="12.75">
      <c r="B479" s="466"/>
      <c r="C479" s="416" t="s">
        <v>487</v>
      </c>
      <c r="D479" s="423">
        <f>3*Dados!$B115*Dados!B$25</f>
        <v>0</v>
      </c>
      <c r="E479" s="423">
        <f>3*Dados!$B115*Dados!C$25</f>
        <v>0</v>
      </c>
      <c r="F479" s="423">
        <f>3*Dados!$B115*Dados!D$25</f>
        <v>0</v>
      </c>
      <c r="G479" s="423">
        <f>3*Dados!$B115*Dados!E$25</f>
        <v>0</v>
      </c>
      <c r="H479" s="446">
        <f t="shared" si="59"/>
        <v>0</v>
      </c>
      <c r="I479" s="467"/>
    </row>
    <row r="480" spans="2:9" ht="12.75">
      <c r="B480" s="466"/>
      <c r="C480" s="416" t="s">
        <v>488</v>
      </c>
      <c r="D480" s="423">
        <f>3*Dados!$B116*Dados!B$25</f>
        <v>0</v>
      </c>
      <c r="E480" s="423">
        <f>3*Dados!$B116*Dados!C$25</f>
        <v>0</v>
      </c>
      <c r="F480" s="423">
        <f>3*Dados!$B116*Dados!D$25</f>
        <v>0</v>
      </c>
      <c r="G480" s="423">
        <f>3*Dados!$B116*Dados!E$25</f>
        <v>0</v>
      </c>
      <c r="H480" s="446">
        <f t="shared" si="59"/>
        <v>0</v>
      </c>
      <c r="I480" s="467"/>
    </row>
    <row r="481" spans="2:9" ht="12.75">
      <c r="B481" s="466"/>
      <c r="C481" s="416" t="s">
        <v>489</v>
      </c>
      <c r="D481" s="423">
        <f>3*Dados!$B117*Dados!B$25</f>
        <v>0</v>
      </c>
      <c r="E481" s="423">
        <f>3*Dados!$B117*Dados!C$25</f>
        <v>0</v>
      </c>
      <c r="F481" s="423">
        <f>3*Dados!$B117*Dados!D$25</f>
        <v>0</v>
      </c>
      <c r="G481" s="423">
        <f>3*Dados!$B117*Dados!E$25</f>
        <v>0</v>
      </c>
      <c r="H481" s="446">
        <f t="shared" si="59"/>
        <v>0</v>
      </c>
      <c r="I481" s="467"/>
    </row>
    <row r="482" spans="2:9" ht="12.75">
      <c r="B482" s="466"/>
      <c r="C482" s="416" t="s">
        <v>376</v>
      </c>
      <c r="D482" s="423">
        <f>3*Dados!$B118*Dados!B$25</f>
        <v>0</v>
      </c>
      <c r="E482" s="423">
        <f>3*Dados!$B118*Dados!C$25</f>
        <v>0</v>
      </c>
      <c r="F482" s="423">
        <f>3*Dados!$B118*Dados!D$25</f>
        <v>0</v>
      </c>
      <c r="G482" s="423">
        <f>3*Dados!$B118*Dados!E$25</f>
        <v>0</v>
      </c>
      <c r="H482" s="446">
        <f t="shared" si="59"/>
        <v>0</v>
      </c>
      <c r="I482" s="467"/>
    </row>
    <row r="483" spans="2:9" ht="12.75">
      <c r="B483" s="466"/>
      <c r="C483" s="416" t="s">
        <v>542</v>
      </c>
      <c r="D483" s="423">
        <f>3*Dados!$B119*Dados!B$25</f>
        <v>0</v>
      </c>
      <c r="E483" s="423">
        <f>3*Dados!$B119*Dados!C$25</f>
        <v>0</v>
      </c>
      <c r="F483" s="423">
        <f>3*Dados!$B119*Dados!D$25</f>
        <v>0</v>
      </c>
      <c r="G483" s="423">
        <f>3*Dados!$B119*Dados!E$25</f>
        <v>0</v>
      </c>
      <c r="H483" s="446">
        <f t="shared" si="59"/>
        <v>0</v>
      </c>
      <c r="I483" s="467"/>
    </row>
    <row r="484" spans="2:9" ht="12.75">
      <c r="B484" s="466"/>
      <c r="C484" s="416" t="s">
        <v>543</v>
      </c>
      <c r="D484" s="423">
        <f>3*Dados!$B120*Dados!B$25</f>
        <v>0</v>
      </c>
      <c r="E484" s="423">
        <f>3*Dados!$B120*Dados!C$25</f>
        <v>0</v>
      </c>
      <c r="F484" s="423">
        <f>3*Dados!$B120*Dados!D$25</f>
        <v>0</v>
      </c>
      <c r="G484" s="423">
        <f>3*Dados!$B120*Dados!E$25</f>
        <v>0</v>
      </c>
      <c r="H484" s="446">
        <f>SUM(D484:G484)</f>
        <v>0</v>
      </c>
      <c r="I484" s="467"/>
    </row>
    <row r="485" spans="2:9" ht="12.75">
      <c r="B485" s="466"/>
      <c r="C485" s="416" t="s">
        <v>545</v>
      </c>
      <c r="D485" s="423">
        <f>3*Dados!$B121*Dados!B$25</f>
        <v>0</v>
      </c>
      <c r="E485" s="423">
        <f>3*Dados!$B121*Dados!C$25</f>
        <v>0</v>
      </c>
      <c r="F485" s="423">
        <f>3*Dados!$B121*Dados!D$25</f>
        <v>0</v>
      </c>
      <c r="G485" s="423">
        <f>3*Dados!$B121*Dados!E$25</f>
        <v>0</v>
      </c>
      <c r="H485" s="446">
        <f>SUM(D485:G485)</f>
        <v>0</v>
      </c>
      <c r="I485" s="467"/>
    </row>
    <row r="486" spans="2:9" ht="12.75">
      <c r="B486" s="466"/>
      <c r="C486" s="416" t="s">
        <v>377</v>
      </c>
      <c r="D486" s="423">
        <f>3*Dados!$B122*Dados!B$25</f>
        <v>0</v>
      </c>
      <c r="E486" s="423">
        <f>3*Dados!$B122*Dados!C$25</f>
        <v>0</v>
      </c>
      <c r="F486" s="423">
        <f>3*Dados!$B122*Dados!D$25</f>
        <v>0</v>
      </c>
      <c r="G486" s="423">
        <f>3*Dados!$B122*Dados!E$25</f>
        <v>0</v>
      </c>
      <c r="H486" s="446">
        <f t="shared" si="59"/>
        <v>0</v>
      </c>
      <c r="I486" s="467"/>
    </row>
    <row r="487" spans="2:9" ht="12.75">
      <c r="B487" s="466"/>
      <c r="C487" s="416" t="s">
        <v>378</v>
      </c>
      <c r="D487" s="423">
        <f>3*Dados!$B123*Dados!B$25</f>
        <v>0</v>
      </c>
      <c r="E487" s="423">
        <f>3*Dados!$B123*Dados!C$25</f>
        <v>0</v>
      </c>
      <c r="F487" s="423">
        <f>3*Dados!$B123*Dados!D$25</f>
        <v>0</v>
      </c>
      <c r="G487" s="423">
        <f>3*Dados!$B123*Dados!E$25</f>
        <v>0</v>
      </c>
      <c r="H487" s="446">
        <f t="shared" si="59"/>
        <v>0</v>
      </c>
      <c r="I487" s="467"/>
    </row>
    <row r="488" spans="2:9" ht="12.75">
      <c r="B488" s="466"/>
      <c r="C488" s="399" t="s">
        <v>379</v>
      </c>
      <c r="D488" s="452">
        <f>SUM(D472:D487)</f>
        <v>12000</v>
      </c>
      <c r="E488" s="452">
        <f>SUM(E472:E487)</f>
        <v>12240</v>
      </c>
      <c r="F488" s="452">
        <f>SUM(F472:F487)</f>
        <v>12240</v>
      </c>
      <c r="G488" s="452">
        <f>SUM(G472:G487)</f>
        <v>12240</v>
      </c>
      <c r="H488" s="453">
        <f>SUM(D488:G488)</f>
        <v>48720</v>
      </c>
      <c r="I488" s="467"/>
    </row>
    <row r="489" spans="2:9" ht="12.75">
      <c r="B489" s="466"/>
      <c r="C489" s="399" t="s">
        <v>551</v>
      </c>
      <c r="D489" s="425"/>
      <c r="E489" s="425"/>
      <c r="F489" s="425"/>
      <c r="G489" s="425"/>
      <c r="H489" s="445"/>
      <c r="I489" s="467"/>
    </row>
    <row r="490" spans="2:9" ht="12.75">
      <c r="B490" s="466"/>
      <c r="C490" s="416" t="s">
        <v>346</v>
      </c>
      <c r="D490" s="455">
        <f>3*Dados!$C108*Dados!B$25*D$19/1000</f>
        <v>0</v>
      </c>
      <c r="E490" s="455">
        <f>3*Dados!$C108*Dados!C$25*E$19/1000</f>
        <v>0</v>
      </c>
      <c r="F490" s="455">
        <f>3*Dados!$C108*Dados!D$25*F$19/1000</f>
        <v>0</v>
      </c>
      <c r="G490" s="455">
        <f>3*Dados!$C108*Dados!E$25*G$19/1000</f>
        <v>0</v>
      </c>
      <c r="H490" s="446">
        <f>SUM(D490:G490)</f>
        <v>0</v>
      </c>
      <c r="I490" s="467"/>
    </row>
    <row r="491" spans="2:9" ht="12.75">
      <c r="B491" s="466"/>
      <c r="C491" s="416" t="s">
        <v>394</v>
      </c>
      <c r="D491" s="455">
        <f>3*Dados!$C109*Dados!B$25*D$19/1000</f>
        <v>0</v>
      </c>
      <c r="E491" s="455">
        <f>3*Dados!$C109*Dados!C$25*E$19/1000</f>
        <v>0</v>
      </c>
      <c r="F491" s="455">
        <f>3*Dados!$C109*Dados!D$25*F$19/1000</f>
        <v>0</v>
      </c>
      <c r="G491" s="455">
        <f>3*Dados!$C109*Dados!E$25*G$19/1000</f>
        <v>0</v>
      </c>
      <c r="H491" s="446">
        <f aca="true" t="shared" si="60" ref="H491:H505">SUM(D491:G491)</f>
        <v>0</v>
      </c>
      <c r="I491" s="467"/>
    </row>
    <row r="492" spans="2:9" ht="12.75">
      <c r="B492" s="466"/>
      <c r="C492" s="416" t="s">
        <v>395</v>
      </c>
      <c r="D492" s="455">
        <f>3*Dados!$C110*Dados!B$25*D$19/1000</f>
        <v>0</v>
      </c>
      <c r="E492" s="455">
        <f>3*Dados!$C110*Dados!C$25*E$19/1000</f>
        <v>0</v>
      </c>
      <c r="F492" s="455">
        <f>3*Dados!$C110*Dados!D$25*F$19/1000</f>
        <v>0</v>
      </c>
      <c r="G492" s="455">
        <f>3*Dados!$C110*Dados!E$25*G$19/1000</f>
        <v>0</v>
      </c>
      <c r="H492" s="446">
        <f t="shared" si="60"/>
        <v>0</v>
      </c>
      <c r="I492" s="467"/>
    </row>
    <row r="493" spans="2:9" ht="12.75">
      <c r="B493" s="466"/>
      <c r="C493" s="416" t="s">
        <v>348</v>
      </c>
      <c r="D493" s="455">
        <f>3*Dados!$C111*Dados!B$25*D$19/1000</f>
        <v>0</v>
      </c>
      <c r="E493" s="455">
        <f>3*Dados!$C111*Dados!C$25*E$19/1000</f>
        <v>0</v>
      </c>
      <c r="F493" s="455">
        <f>3*Dados!$C111*Dados!D$25*F$19/1000</f>
        <v>0</v>
      </c>
      <c r="G493" s="455">
        <f>3*Dados!$C111*Dados!E$25*G$19/1000</f>
        <v>0</v>
      </c>
      <c r="H493" s="446">
        <f t="shared" si="60"/>
        <v>0</v>
      </c>
      <c r="I493" s="467"/>
    </row>
    <row r="494" spans="2:9" ht="12.75">
      <c r="B494" s="466"/>
      <c r="C494" s="416" t="s">
        <v>381</v>
      </c>
      <c r="D494" s="455">
        <f>3*Dados!$C112*Dados!B$25*D$19/1000</f>
        <v>0</v>
      </c>
      <c r="E494" s="455">
        <f>3*Dados!$C112*Dados!C$25*E$19/1000</f>
        <v>0</v>
      </c>
      <c r="F494" s="455">
        <f>3*Dados!$C112*Dados!D$25*F$19/1000</f>
        <v>0</v>
      </c>
      <c r="G494" s="455">
        <f>3*Dados!$C112*Dados!E$25*G$19/1000</f>
        <v>0</v>
      </c>
      <c r="H494" s="446">
        <f t="shared" si="60"/>
        <v>0</v>
      </c>
      <c r="I494" s="467"/>
    </row>
    <row r="495" spans="2:9" ht="12.75">
      <c r="B495" s="466"/>
      <c r="C495" s="416" t="s">
        <v>382</v>
      </c>
      <c r="D495" s="455">
        <f>3*Dados!$C113*Dados!B$25*D$19/1000</f>
        <v>9899.999999999998</v>
      </c>
      <c r="E495" s="455">
        <f>3*Dados!$C113*Dados!C$25*E$19/1000</f>
        <v>11346.48</v>
      </c>
      <c r="F495" s="455">
        <f>3*Dados!$C113*Dados!D$25*F$19/1000</f>
        <v>12537.860399999996</v>
      </c>
      <c r="G495" s="455">
        <f>3*Dados!$C113*Dados!E$25*G$19/1000</f>
        <v>13907.380535999999</v>
      </c>
      <c r="H495" s="446">
        <f t="shared" si="60"/>
        <v>47691.72093599999</v>
      </c>
      <c r="I495" s="467"/>
    </row>
    <row r="496" spans="2:9" ht="12.75">
      <c r="B496" s="466"/>
      <c r="C496" s="416" t="s">
        <v>399</v>
      </c>
      <c r="D496" s="455">
        <f>3*Dados!$C114*Dados!B$25*D$19/1000</f>
        <v>0</v>
      </c>
      <c r="E496" s="455">
        <f>3*Dados!$C114*Dados!C$25*E$19/1000</f>
        <v>0</v>
      </c>
      <c r="F496" s="455">
        <f>3*Dados!$C114*Dados!D$25*F$19/1000</f>
        <v>0</v>
      </c>
      <c r="G496" s="455">
        <f>3*Dados!$C114*Dados!E$25*G$19/1000</f>
        <v>0</v>
      </c>
      <c r="H496" s="446">
        <f t="shared" si="60"/>
        <v>0</v>
      </c>
      <c r="I496" s="467"/>
    </row>
    <row r="497" spans="2:9" ht="12.75">
      <c r="B497" s="466"/>
      <c r="C497" s="416" t="s">
        <v>400</v>
      </c>
      <c r="D497" s="455">
        <f>3*Dados!$C115*Dados!B$25*D$19/1000</f>
        <v>0</v>
      </c>
      <c r="E497" s="455">
        <f>3*Dados!$C115*Dados!C$25*E$19/1000</f>
        <v>0</v>
      </c>
      <c r="F497" s="455">
        <f>3*Dados!$C115*Dados!D$25*F$19/1000</f>
        <v>0</v>
      </c>
      <c r="G497" s="455">
        <f>3*Dados!$C115*Dados!E$25*G$19/1000</f>
        <v>0</v>
      </c>
      <c r="H497" s="446">
        <f t="shared" si="60"/>
        <v>0</v>
      </c>
      <c r="I497" s="467"/>
    </row>
    <row r="498" spans="2:9" ht="12.75">
      <c r="B498" s="466"/>
      <c r="C498" s="416" t="s">
        <v>401</v>
      </c>
      <c r="D498" s="455">
        <f>3*Dados!$C116*Dados!B$25*D$19/1000</f>
        <v>0</v>
      </c>
      <c r="E498" s="455">
        <f>3*Dados!$C116*Dados!C$25*E$19/1000</f>
        <v>0</v>
      </c>
      <c r="F498" s="455">
        <f>3*Dados!$C116*Dados!D$25*F$19/1000</f>
        <v>0</v>
      </c>
      <c r="G498" s="455">
        <f>3*Dados!$C116*Dados!E$25*G$19/1000</f>
        <v>0</v>
      </c>
      <c r="H498" s="446">
        <f t="shared" si="60"/>
        <v>0</v>
      </c>
      <c r="I498" s="467"/>
    </row>
    <row r="499" spans="2:9" ht="12.75">
      <c r="B499" s="466"/>
      <c r="C499" s="416" t="s">
        <v>402</v>
      </c>
      <c r="D499" s="455">
        <f>3*Dados!$C117*Dados!B$25*D$19/1000</f>
        <v>0</v>
      </c>
      <c r="E499" s="455">
        <f>3*Dados!$C117*Dados!C$25*E$19/1000</f>
        <v>0</v>
      </c>
      <c r="F499" s="455">
        <f>3*Dados!$C117*Dados!D$25*F$19/1000</f>
        <v>0</v>
      </c>
      <c r="G499" s="455">
        <f>3*Dados!$C117*Dados!E$25*G$19/1000</f>
        <v>0</v>
      </c>
      <c r="H499" s="446">
        <f t="shared" si="60"/>
        <v>0</v>
      </c>
      <c r="I499" s="467"/>
    </row>
    <row r="500" spans="2:9" ht="12.75">
      <c r="B500" s="466"/>
      <c r="C500" s="416" t="s">
        <v>383</v>
      </c>
      <c r="D500" s="455">
        <f>3*Dados!$C118*Dados!B$25*D$19/1000</f>
        <v>0</v>
      </c>
      <c r="E500" s="455">
        <f>3*Dados!$C118*Dados!C$25*E$19/1000</f>
        <v>0</v>
      </c>
      <c r="F500" s="455">
        <f>3*Dados!$C118*Dados!D$25*F$19/1000</f>
        <v>0</v>
      </c>
      <c r="G500" s="455">
        <f>3*Dados!$C118*Dados!E$25*G$19/1000</f>
        <v>0</v>
      </c>
      <c r="H500" s="446">
        <f t="shared" si="60"/>
        <v>0</v>
      </c>
      <c r="I500" s="467"/>
    </row>
    <row r="501" spans="2:9" ht="12.75">
      <c r="B501" s="466"/>
      <c r="C501" s="416" t="s">
        <v>542</v>
      </c>
      <c r="D501" s="455">
        <f>3*Dados!$C119*Dados!B$25*D$19/1000</f>
        <v>0</v>
      </c>
      <c r="E501" s="455">
        <f>3*Dados!$C119*Dados!C$25*E$19/1000</f>
        <v>0</v>
      </c>
      <c r="F501" s="455">
        <f>3*Dados!$C119*Dados!D$25*F$19/1000</f>
        <v>0</v>
      </c>
      <c r="G501" s="455">
        <f>3*Dados!$C119*Dados!E$25*G$19/1000</f>
        <v>0</v>
      </c>
      <c r="H501" s="446">
        <f>SUM(D501:G501)</f>
        <v>0</v>
      </c>
      <c r="I501" s="467"/>
    </row>
    <row r="502" spans="2:9" ht="12.75">
      <c r="B502" s="466"/>
      <c r="C502" s="416" t="s">
        <v>543</v>
      </c>
      <c r="D502" s="455">
        <f>3*Dados!$C120*Dados!B$25*D$19/1000</f>
        <v>0</v>
      </c>
      <c r="E502" s="455">
        <f>3*Dados!$C120*Dados!C$25*E$19/1000</f>
        <v>0</v>
      </c>
      <c r="F502" s="455">
        <f>3*Dados!$C120*Dados!D$25*F$19/1000</f>
        <v>0</v>
      </c>
      <c r="G502" s="455">
        <f>3*Dados!$C120*Dados!E$25*G$19/1000</f>
        <v>0</v>
      </c>
      <c r="H502" s="446">
        <f>SUM(D502:G502)</f>
        <v>0</v>
      </c>
      <c r="I502" s="467"/>
    </row>
    <row r="503" spans="2:9" ht="12.75">
      <c r="B503" s="466"/>
      <c r="C503" s="416" t="s">
        <v>545</v>
      </c>
      <c r="D503" s="455">
        <f>3*Dados!$C121*Dados!B$25*D$19/1000</f>
        <v>0</v>
      </c>
      <c r="E503" s="455">
        <f>3*Dados!$C121*Dados!C$25*E$19/1000</f>
        <v>0</v>
      </c>
      <c r="F503" s="455">
        <f>3*Dados!$C121*Dados!D$25*F$19/1000</f>
        <v>0</v>
      </c>
      <c r="G503" s="455">
        <f>3*Dados!$C121*Dados!E$25*G$19/1000</f>
        <v>0</v>
      </c>
      <c r="H503" s="446">
        <f t="shared" si="60"/>
        <v>0</v>
      </c>
      <c r="I503" s="467"/>
    </row>
    <row r="504" spans="2:9" ht="12.75">
      <c r="B504" s="466"/>
      <c r="C504" s="416" t="s">
        <v>377</v>
      </c>
      <c r="D504" s="455">
        <f>3*Dados!$C122*Dados!B$25*D$19/1000</f>
        <v>0</v>
      </c>
      <c r="E504" s="455">
        <f>3*Dados!$C122*Dados!C$25*E$19/1000</f>
        <v>0</v>
      </c>
      <c r="F504" s="455">
        <f>3*Dados!$C122*Dados!D$25*F$19/1000</f>
        <v>0</v>
      </c>
      <c r="G504" s="455">
        <f>3*Dados!$C122*Dados!E$25*G$19/1000</f>
        <v>0</v>
      </c>
      <c r="H504" s="446">
        <f t="shared" si="60"/>
        <v>0</v>
      </c>
      <c r="I504" s="467"/>
    </row>
    <row r="505" spans="2:9" ht="12.75">
      <c r="B505" s="466"/>
      <c r="C505" s="416" t="s">
        <v>378</v>
      </c>
      <c r="D505" s="455">
        <f>3*Dados!$C123*Dados!B$25*D$19/1000</f>
        <v>0</v>
      </c>
      <c r="E505" s="455">
        <f>3*Dados!$C123*Dados!C$25*E$19/1000</f>
        <v>0</v>
      </c>
      <c r="F505" s="455">
        <f>3*Dados!$C123*Dados!D$25*F$19/1000</f>
        <v>0</v>
      </c>
      <c r="G505" s="455">
        <f>3*Dados!$C123*Dados!E$25*G$19/1000</f>
        <v>0</v>
      </c>
      <c r="H505" s="446">
        <f t="shared" si="60"/>
        <v>0</v>
      </c>
      <c r="I505" s="467"/>
    </row>
    <row r="506" spans="2:9" ht="12.75">
      <c r="B506" s="466"/>
      <c r="C506" s="399" t="s">
        <v>379</v>
      </c>
      <c r="D506" s="424">
        <f>SUM(D494:D505)</f>
        <v>9899.999999999998</v>
      </c>
      <c r="E506" s="424">
        <f>SUM(E494:E505)</f>
        <v>11346.48</v>
      </c>
      <c r="F506" s="424">
        <f>SUM(F494:F505)</f>
        <v>12537.860399999996</v>
      </c>
      <c r="G506" s="424">
        <f>SUM(G494:G505)</f>
        <v>13907.380535999999</v>
      </c>
      <c r="H506" s="446">
        <f>SUM(D506:G506)</f>
        <v>47691.72093599999</v>
      </c>
      <c r="I506" s="467"/>
    </row>
    <row r="507" spans="2:9" ht="12.75">
      <c r="B507" s="466"/>
      <c r="C507" s="399" t="s">
        <v>549</v>
      </c>
      <c r="D507" s="423"/>
      <c r="E507" s="423"/>
      <c r="F507" s="423"/>
      <c r="G507" s="423"/>
      <c r="H507" s="444"/>
      <c r="I507" s="467"/>
    </row>
    <row r="508" spans="2:9" ht="12.75">
      <c r="B508" s="466"/>
      <c r="C508" s="416" t="s">
        <v>346</v>
      </c>
      <c r="D508" s="423">
        <f aca="true" t="shared" si="61" ref="D508:G518">D472+D490</f>
        <v>12000</v>
      </c>
      <c r="E508" s="423">
        <f t="shared" si="61"/>
        <v>12240</v>
      </c>
      <c r="F508" s="423">
        <f t="shared" si="61"/>
        <v>12240</v>
      </c>
      <c r="G508" s="423">
        <f t="shared" si="61"/>
        <v>12240</v>
      </c>
      <c r="H508" s="446">
        <f>SUM(D508:G508)</f>
        <v>48720</v>
      </c>
      <c r="I508" s="467"/>
    </row>
    <row r="509" spans="2:9" ht="12.75">
      <c r="B509" s="466"/>
      <c r="C509" s="416" t="s">
        <v>413</v>
      </c>
      <c r="D509" s="423">
        <f t="shared" si="61"/>
        <v>0</v>
      </c>
      <c r="E509" s="423">
        <f t="shared" si="61"/>
        <v>0</v>
      </c>
      <c r="F509" s="423">
        <f t="shared" si="61"/>
        <v>0</v>
      </c>
      <c r="G509" s="423">
        <f t="shared" si="61"/>
        <v>0</v>
      </c>
      <c r="H509" s="446">
        <f>SUM(D509:G509)</f>
        <v>0</v>
      </c>
      <c r="I509" s="467"/>
    </row>
    <row r="510" spans="2:9" ht="12.75">
      <c r="B510" s="466"/>
      <c r="C510" s="416" t="s">
        <v>414</v>
      </c>
      <c r="D510" s="423">
        <f t="shared" si="61"/>
        <v>0</v>
      </c>
      <c r="E510" s="423">
        <f t="shared" si="61"/>
        <v>0</v>
      </c>
      <c r="F510" s="423">
        <f t="shared" si="61"/>
        <v>0</v>
      </c>
      <c r="G510" s="423">
        <f t="shared" si="61"/>
        <v>0</v>
      </c>
      <c r="H510" s="446">
        <f>SUM(D510:G510)</f>
        <v>0</v>
      </c>
      <c r="I510" s="467"/>
    </row>
    <row r="511" spans="2:9" ht="12.75">
      <c r="B511" s="466"/>
      <c r="C511" s="416" t="s">
        <v>348</v>
      </c>
      <c r="D511" s="423">
        <f t="shared" si="61"/>
        <v>0</v>
      </c>
      <c r="E511" s="423">
        <f t="shared" si="61"/>
        <v>0</v>
      </c>
      <c r="F511" s="423">
        <f t="shared" si="61"/>
        <v>0</v>
      </c>
      <c r="G511" s="423">
        <f t="shared" si="61"/>
        <v>0</v>
      </c>
      <c r="H511" s="446">
        <f aca="true" t="shared" si="62" ref="H511:H521">SUM(D511:G511)</f>
        <v>0</v>
      </c>
      <c r="I511" s="467"/>
    </row>
    <row r="512" spans="2:9" ht="12.75">
      <c r="B512" s="466"/>
      <c r="C512" s="416" t="s">
        <v>381</v>
      </c>
      <c r="D512" s="423">
        <f t="shared" si="61"/>
        <v>0</v>
      </c>
      <c r="E512" s="423">
        <f t="shared" si="61"/>
        <v>0</v>
      </c>
      <c r="F512" s="423">
        <f t="shared" si="61"/>
        <v>0</v>
      </c>
      <c r="G512" s="423">
        <f t="shared" si="61"/>
        <v>0</v>
      </c>
      <c r="H512" s="446">
        <f t="shared" si="62"/>
        <v>0</v>
      </c>
      <c r="I512" s="467"/>
    </row>
    <row r="513" spans="2:9" ht="12.75">
      <c r="B513" s="466"/>
      <c r="C513" s="416" t="s">
        <v>382</v>
      </c>
      <c r="D513" s="423">
        <f t="shared" si="61"/>
        <v>9899.999999999998</v>
      </c>
      <c r="E513" s="423">
        <f t="shared" si="61"/>
        <v>11346.48</v>
      </c>
      <c r="F513" s="423">
        <f t="shared" si="61"/>
        <v>12537.860399999996</v>
      </c>
      <c r="G513" s="423">
        <f t="shared" si="61"/>
        <v>13907.380535999999</v>
      </c>
      <c r="H513" s="446">
        <f t="shared" si="62"/>
        <v>47691.72093599999</v>
      </c>
      <c r="I513" s="467"/>
    </row>
    <row r="514" spans="2:9" ht="12.75">
      <c r="B514" s="466"/>
      <c r="C514" s="416" t="s">
        <v>399</v>
      </c>
      <c r="D514" s="423">
        <f t="shared" si="61"/>
        <v>0</v>
      </c>
      <c r="E514" s="423">
        <f t="shared" si="61"/>
        <v>0</v>
      </c>
      <c r="F514" s="423">
        <f t="shared" si="61"/>
        <v>0</v>
      </c>
      <c r="G514" s="423">
        <f t="shared" si="61"/>
        <v>0</v>
      </c>
      <c r="H514" s="446">
        <f t="shared" si="62"/>
        <v>0</v>
      </c>
      <c r="I514" s="467"/>
    </row>
    <row r="515" spans="2:9" ht="12.75">
      <c r="B515" s="466"/>
      <c r="C515" s="416" t="s">
        <v>400</v>
      </c>
      <c r="D515" s="423">
        <f t="shared" si="61"/>
        <v>0</v>
      </c>
      <c r="E515" s="423">
        <f t="shared" si="61"/>
        <v>0</v>
      </c>
      <c r="F515" s="423">
        <f t="shared" si="61"/>
        <v>0</v>
      </c>
      <c r="G515" s="423">
        <f t="shared" si="61"/>
        <v>0</v>
      </c>
      <c r="H515" s="446">
        <f t="shared" si="62"/>
        <v>0</v>
      </c>
      <c r="I515" s="467"/>
    </row>
    <row r="516" spans="2:9" ht="12.75">
      <c r="B516" s="466"/>
      <c r="C516" s="416" t="s">
        <v>401</v>
      </c>
      <c r="D516" s="423">
        <f t="shared" si="61"/>
        <v>0</v>
      </c>
      <c r="E516" s="423">
        <f t="shared" si="61"/>
        <v>0</v>
      </c>
      <c r="F516" s="423">
        <f t="shared" si="61"/>
        <v>0</v>
      </c>
      <c r="G516" s="423">
        <f t="shared" si="61"/>
        <v>0</v>
      </c>
      <c r="H516" s="446">
        <f t="shared" si="62"/>
        <v>0</v>
      </c>
      <c r="I516" s="467"/>
    </row>
    <row r="517" spans="2:9" ht="12.75">
      <c r="B517" s="466"/>
      <c r="C517" s="416" t="s">
        <v>402</v>
      </c>
      <c r="D517" s="423">
        <f t="shared" si="61"/>
        <v>0</v>
      </c>
      <c r="E517" s="423">
        <f t="shared" si="61"/>
        <v>0</v>
      </c>
      <c r="F517" s="423">
        <f t="shared" si="61"/>
        <v>0</v>
      </c>
      <c r="G517" s="423">
        <f t="shared" si="61"/>
        <v>0</v>
      </c>
      <c r="H517" s="446">
        <f t="shared" si="62"/>
        <v>0</v>
      </c>
      <c r="I517" s="467"/>
    </row>
    <row r="518" spans="2:9" ht="12.75">
      <c r="B518" s="466"/>
      <c r="C518" s="416" t="s">
        <v>383</v>
      </c>
      <c r="D518" s="423">
        <f t="shared" si="61"/>
        <v>0</v>
      </c>
      <c r="E518" s="423">
        <f t="shared" si="61"/>
        <v>0</v>
      </c>
      <c r="F518" s="423">
        <f t="shared" si="61"/>
        <v>0</v>
      </c>
      <c r="G518" s="423">
        <f t="shared" si="61"/>
        <v>0</v>
      </c>
      <c r="H518" s="446">
        <f t="shared" si="62"/>
        <v>0</v>
      </c>
      <c r="I518" s="467"/>
    </row>
    <row r="519" spans="2:9" ht="12.75">
      <c r="B519" s="466"/>
      <c r="C519" s="416" t="s">
        <v>352</v>
      </c>
      <c r="D519" s="423">
        <f>D483+D503</f>
        <v>0</v>
      </c>
      <c r="E519" s="423">
        <f>E483+E503</f>
        <v>0</v>
      </c>
      <c r="F519" s="423">
        <f>F483+F503</f>
        <v>0</v>
      </c>
      <c r="G519" s="423">
        <f>G483+G503</f>
        <v>0</v>
      </c>
      <c r="H519" s="446">
        <f t="shared" si="62"/>
        <v>0</v>
      </c>
      <c r="I519" s="467"/>
    </row>
    <row r="520" spans="2:9" ht="12.75">
      <c r="B520" s="466"/>
      <c r="C520" s="416" t="s">
        <v>353</v>
      </c>
      <c r="D520" s="423">
        <f aca="true" t="shared" si="63" ref="D520:G521">D486+D504</f>
        <v>0</v>
      </c>
      <c r="E520" s="423">
        <f t="shared" si="63"/>
        <v>0</v>
      </c>
      <c r="F520" s="423">
        <f t="shared" si="63"/>
        <v>0</v>
      </c>
      <c r="G520" s="423">
        <f t="shared" si="63"/>
        <v>0</v>
      </c>
      <c r="H520" s="446">
        <f t="shared" si="62"/>
        <v>0</v>
      </c>
      <c r="I520" s="467"/>
    </row>
    <row r="521" spans="2:9" ht="12.75">
      <c r="B521" s="466"/>
      <c r="C521" s="416" t="s">
        <v>354</v>
      </c>
      <c r="D521" s="423">
        <f t="shared" si="63"/>
        <v>0</v>
      </c>
      <c r="E521" s="423">
        <f t="shared" si="63"/>
        <v>0</v>
      </c>
      <c r="F521" s="423">
        <f t="shared" si="63"/>
        <v>0</v>
      </c>
      <c r="G521" s="423">
        <f t="shared" si="63"/>
        <v>0</v>
      </c>
      <c r="H521" s="446">
        <f t="shared" si="62"/>
        <v>0</v>
      </c>
      <c r="I521" s="467"/>
    </row>
    <row r="522" spans="2:9" ht="12.75">
      <c r="B522" s="466"/>
      <c r="C522" s="399" t="s">
        <v>379</v>
      </c>
      <c r="D522" s="507">
        <f>SUM(D508:D521)</f>
        <v>21900</v>
      </c>
      <c r="E522" s="507">
        <f>SUM(E508:E521)</f>
        <v>23586.48</v>
      </c>
      <c r="F522" s="507">
        <f>SUM(F508:F521)</f>
        <v>24777.860399999998</v>
      </c>
      <c r="G522" s="507">
        <f>SUM(G508:G521)</f>
        <v>26147.380535999997</v>
      </c>
      <c r="H522" s="506">
        <f>SUM(D522:G522)</f>
        <v>96411.72093599998</v>
      </c>
      <c r="I522" s="467"/>
    </row>
    <row r="523" spans="2:9" ht="13.5" thickBot="1">
      <c r="B523" s="466"/>
      <c r="C523" s="419"/>
      <c r="D523" s="407"/>
      <c r="E523" s="407"/>
      <c r="F523" s="407"/>
      <c r="G523" s="407"/>
      <c r="H523" s="420"/>
      <c r="I523" s="467"/>
    </row>
    <row r="524" spans="2:9" ht="13.5" thickBot="1">
      <c r="B524" s="466"/>
      <c r="C524" s="20"/>
      <c r="D524" s="20"/>
      <c r="E524" s="20"/>
      <c r="F524" s="20"/>
      <c r="G524" s="20"/>
      <c r="H524" s="20"/>
      <c r="I524" s="467"/>
    </row>
    <row r="525" spans="2:9" ht="12.75">
      <c r="B525" s="466"/>
      <c r="C525" s="421" t="s">
        <v>546</v>
      </c>
      <c r="D525" s="81" t="str">
        <f>$D$16</f>
        <v>Trim 1</v>
      </c>
      <c r="E525" s="81" t="str">
        <f>$E$16</f>
        <v>Trim 2</v>
      </c>
      <c r="F525" s="81" t="str">
        <f>$F$16</f>
        <v>Trim 3</v>
      </c>
      <c r="G525" s="81" t="str">
        <f>$G$16</f>
        <v>Trim 4</v>
      </c>
      <c r="H525" s="462" t="s">
        <v>20</v>
      </c>
      <c r="I525" s="467"/>
    </row>
    <row r="526" spans="2:9" ht="12.75">
      <c r="B526" s="466"/>
      <c r="C526" s="422" t="s">
        <v>547</v>
      </c>
      <c r="D526" s="410"/>
      <c r="E526" s="410"/>
      <c r="F526" s="410"/>
      <c r="G526" s="410"/>
      <c r="H526" s="415"/>
      <c r="I526" s="467"/>
    </row>
    <row r="527" spans="2:9" ht="12.75">
      <c r="B527" s="466"/>
      <c r="C527" s="399" t="s">
        <v>409</v>
      </c>
      <c r="D527" s="411"/>
      <c r="E527" s="411"/>
      <c r="F527" s="411"/>
      <c r="G527" s="412"/>
      <c r="H527" s="417"/>
      <c r="I527" s="467"/>
    </row>
    <row r="528" spans="2:9" ht="12.75">
      <c r="B528" s="466"/>
      <c r="C528" s="399" t="s">
        <v>344</v>
      </c>
      <c r="D528" s="400"/>
      <c r="E528" s="400"/>
      <c r="F528" s="400"/>
      <c r="G528" s="400"/>
      <c r="H528" s="401"/>
      <c r="I528" s="467"/>
    </row>
    <row r="529" spans="2:9" ht="12.75">
      <c r="B529" s="466"/>
      <c r="C529" s="399" t="s">
        <v>550</v>
      </c>
      <c r="D529" s="405"/>
      <c r="E529" s="405"/>
      <c r="F529" s="405"/>
      <c r="G529" s="405"/>
      <c r="H529" s="406"/>
      <c r="I529" s="467"/>
    </row>
    <row r="530" spans="2:9" ht="12.75">
      <c r="B530" s="466"/>
      <c r="C530" s="416" t="s">
        <v>386</v>
      </c>
      <c r="D530" s="423">
        <f>3*Dados!$D108*Dados!B$25</f>
        <v>0</v>
      </c>
      <c r="E530" s="423">
        <f>3*Dados!$D108*Dados!C$25</f>
        <v>0</v>
      </c>
      <c r="F530" s="423">
        <f>3*Dados!$D108*Dados!D$25</f>
        <v>0</v>
      </c>
      <c r="G530" s="423">
        <f>3*Dados!$D108*Dados!E$25</f>
        <v>0</v>
      </c>
      <c r="H530" s="446">
        <f>SUM(D530:G530)</f>
        <v>0</v>
      </c>
      <c r="I530" s="467"/>
    </row>
    <row r="531" spans="2:9" ht="12.75">
      <c r="B531" s="466"/>
      <c r="C531" s="416" t="s">
        <v>410</v>
      </c>
      <c r="D531" s="423">
        <f>3*Dados!$D109*Dados!B$25</f>
        <v>9000</v>
      </c>
      <c r="E531" s="423">
        <f>3*Dados!$D109*Dados!C$25</f>
        <v>9180</v>
      </c>
      <c r="F531" s="423">
        <f>3*Dados!$D109*Dados!D$25</f>
        <v>9180</v>
      </c>
      <c r="G531" s="423">
        <f>3*Dados!$D109*Dados!E$25</f>
        <v>9180</v>
      </c>
      <c r="H531" s="446">
        <f aca="true" t="shared" si="64" ref="H531:H545">SUM(D531:G531)</f>
        <v>36540</v>
      </c>
      <c r="I531" s="467"/>
    </row>
    <row r="532" spans="2:9" ht="12.75">
      <c r="B532" s="466"/>
      <c r="C532" s="416" t="s">
        <v>537</v>
      </c>
      <c r="D532" s="423">
        <f>3*Dados!$D110*Dados!B$25</f>
        <v>0</v>
      </c>
      <c r="E532" s="423">
        <f>3*Dados!$D110*Dados!C$25</f>
        <v>0</v>
      </c>
      <c r="F532" s="423">
        <f>3*Dados!$D110*Dados!D$25</f>
        <v>0</v>
      </c>
      <c r="G532" s="423">
        <f>3*Dados!$D110*Dados!E$25</f>
        <v>0</v>
      </c>
      <c r="H532" s="446">
        <f t="shared" si="64"/>
        <v>0</v>
      </c>
      <c r="I532" s="467"/>
    </row>
    <row r="533" spans="2:9" ht="12.75">
      <c r="B533" s="466"/>
      <c r="C533" s="416" t="s">
        <v>373</v>
      </c>
      <c r="D533" s="423">
        <f>3*Dados!$D111*Dados!B$25</f>
        <v>0</v>
      </c>
      <c r="E533" s="423">
        <f>3*Dados!$D111*Dados!C$25</f>
        <v>0</v>
      </c>
      <c r="F533" s="423">
        <f>3*Dados!$D111*Dados!D$25</f>
        <v>0</v>
      </c>
      <c r="G533" s="423">
        <f>3*Dados!$D111*Dados!E$25</f>
        <v>0</v>
      </c>
      <c r="H533" s="446">
        <f t="shared" si="64"/>
        <v>0</v>
      </c>
      <c r="I533" s="467"/>
    </row>
    <row r="534" spans="2:9" ht="12.75">
      <c r="B534" s="466"/>
      <c r="C534" s="416" t="s">
        <v>374</v>
      </c>
      <c r="D534" s="423">
        <f>3*Dados!$D112*Dados!B$25</f>
        <v>0</v>
      </c>
      <c r="E534" s="423">
        <f>3*Dados!$D112*Dados!C$25</f>
        <v>0</v>
      </c>
      <c r="F534" s="423">
        <f>3*Dados!$D112*Dados!D$25</f>
        <v>0</v>
      </c>
      <c r="G534" s="423">
        <f>3*Dados!$D112*Dados!E$25</f>
        <v>0</v>
      </c>
      <c r="H534" s="446">
        <f t="shared" si="64"/>
        <v>0</v>
      </c>
      <c r="I534" s="467"/>
    </row>
    <row r="535" spans="2:9" ht="12.75">
      <c r="B535" s="466"/>
      <c r="C535" s="416" t="s">
        <v>375</v>
      </c>
      <c r="D535" s="423">
        <f>3*Dados!$D113*Dados!B$25</f>
        <v>0</v>
      </c>
      <c r="E535" s="423">
        <f>3*Dados!$D113*Dados!C$25</f>
        <v>0</v>
      </c>
      <c r="F535" s="423">
        <f>3*Dados!$D113*Dados!D$25</f>
        <v>0</v>
      </c>
      <c r="G535" s="423">
        <f>3*Dados!$D113*Dados!E$25</f>
        <v>0</v>
      </c>
      <c r="H535" s="446">
        <f t="shared" si="64"/>
        <v>0</v>
      </c>
      <c r="I535" s="467"/>
    </row>
    <row r="536" spans="2:9" ht="12.75">
      <c r="B536" s="466"/>
      <c r="C536" s="416" t="s">
        <v>486</v>
      </c>
      <c r="D536" s="423">
        <f>3*Dados!$D114*Dados!B$25</f>
        <v>0</v>
      </c>
      <c r="E536" s="423">
        <f>3*Dados!$D114*Dados!C$25</f>
        <v>0</v>
      </c>
      <c r="F536" s="423">
        <f>3*Dados!$D114*Dados!D$25</f>
        <v>0</v>
      </c>
      <c r="G536" s="423">
        <f>3*Dados!$D114*Dados!E$25</f>
        <v>0</v>
      </c>
      <c r="H536" s="446">
        <f t="shared" si="64"/>
        <v>0</v>
      </c>
      <c r="I536" s="467"/>
    </row>
    <row r="537" spans="2:9" ht="12.75">
      <c r="B537" s="466"/>
      <c r="C537" s="416" t="s">
        <v>487</v>
      </c>
      <c r="D537" s="423">
        <f>3*Dados!$D115*Dados!B$25</f>
        <v>0</v>
      </c>
      <c r="E537" s="423">
        <f>3*Dados!$D115*Dados!C$25</f>
        <v>0</v>
      </c>
      <c r="F537" s="423">
        <f>3*Dados!$D115*Dados!D$25</f>
        <v>0</v>
      </c>
      <c r="G537" s="423">
        <f>3*Dados!$D115*Dados!E$25</f>
        <v>0</v>
      </c>
      <c r="H537" s="446">
        <f t="shared" si="64"/>
        <v>0</v>
      </c>
      <c r="I537" s="467"/>
    </row>
    <row r="538" spans="2:9" ht="12.75">
      <c r="B538" s="466"/>
      <c r="C538" s="416" t="s">
        <v>488</v>
      </c>
      <c r="D538" s="423">
        <f>3*Dados!$D116*Dados!B$25</f>
        <v>0</v>
      </c>
      <c r="E538" s="423">
        <f>3*Dados!$D116*Dados!C$25</f>
        <v>0</v>
      </c>
      <c r="F538" s="423">
        <f>3*Dados!$D116*Dados!D$25</f>
        <v>0</v>
      </c>
      <c r="G538" s="423">
        <f>3*Dados!$D116*Dados!E$25</f>
        <v>0</v>
      </c>
      <c r="H538" s="446">
        <f t="shared" si="64"/>
        <v>0</v>
      </c>
      <c r="I538" s="467"/>
    </row>
    <row r="539" spans="2:9" ht="12.75">
      <c r="B539" s="466"/>
      <c r="C539" s="416" t="s">
        <v>489</v>
      </c>
      <c r="D539" s="423">
        <f>3*Dados!$D117*Dados!B$25</f>
        <v>0</v>
      </c>
      <c r="E539" s="423">
        <f>3*Dados!$D117*Dados!C$25</f>
        <v>0</v>
      </c>
      <c r="F539" s="423">
        <f>3*Dados!$D117*Dados!D$25</f>
        <v>0</v>
      </c>
      <c r="G539" s="423">
        <f>3*Dados!$D117*Dados!E$25</f>
        <v>0</v>
      </c>
      <c r="H539" s="446">
        <f t="shared" si="64"/>
        <v>0</v>
      </c>
      <c r="I539" s="467"/>
    </row>
    <row r="540" spans="2:9" ht="12.75">
      <c r="B540" s="466"/>
      <c r="C540" s="416" t="s">
        <v>548</v>
      </c>
      <c r="D540" s="423">
        <f>3*Dados!$D118*Dados!B$25</f>
        <v>0</v>
      </c>
      <c r="E540" s="423">
        <f>3*Dados!$D118*Dados!C$25</f>
        <v>0</v>
      </c>
      <c r="F540" s="423">
        <f>3*Dados!$D118*Dados!D$25</f>
        <v>0</v>
      </c>
      <c r="G540" s="423">
        <f>3*Dados!$D118*Dados!E$25</f>
        <v>0</v>
      </c>
      <c r="H540" s="446">
        <f t="shared" si="64"/>
        <v>0</v>
      </c>
      <c r="I540" s="467"/>
    </row>
    <row r="541" spans="2:9" ht="12.75">
      <c r="B541" s="466"/>
      <c r="C541" s="416" t="s">
        <v>542</v>
      </c>
      <c r="D541" s="423">
        <f>3*Dados!$D119*Dados!B$25</f>
        <v>0</v>
      </c>
      <c r="E541" s="423">
        <f>3*Dados!$D119*Dados!C$25</f>
        <v>0</v>
      </c>
      <c r="F541" s="423">
        <f>3*Dados!$D119*Dados!D$25</f>
        <v>0</v>
      </c>
      <c r="G541" s="423">
        <f>3*Dados!$D119*Dados!E$25</f>
        <v>0</v>
      </c>
      <c r="H541" s="446">
        <f t="shared" si="64"/>
        <v>0</v>
      </c>
      <c r="I541" s="467"/>
    </row>
    <row r="542" spans="2:9" ht="12.75">
      <c r="B542" s="466"/>
      <c r="C542" s="416" t="s">
        <v>543</v>
      </c>
      <c r="D542" s="423">
        <f>3*Dados!$D120*Dados!B$25</f>
        <v>0</v>
      </c>
      <c r="E542" s="423">
        <f>3*Dados!$D120*Dados!C$25</f>
        <v>0</v>
      </c>
      <c r="F542" s="423">
        <f>3*Dados!$D120*Dados!D$25</f>
        <v>0</v>
      </c>
      <c r="G542" s="423">
        <f>3*Dados!$D120*Dados!E$25</f>
        <v>0</v>
      </c>
      <c r="H542" s="446">
        <f t="shared" si="64"/>
        <v>0</v>
      </c>
      <c r="I542" s="467"/>
    </row>
    <row r="543" spans="2:9" ht="12.75">
      <c r="B543" s="466"/>
      <c r="C543" s="416" t="s">
        <v>545</v>
      </c>
      <c r="D543" s="423">
        <f>3*Dados!$D121*Dados!B$25</f>
        <v>0</v>
      </c>
      <c r="E543" s="423">
        <f>3*Dados!$D121*Dados!C$25</f>
        <v>0</v>
      </c>
      <c r="F543" s="423">
        <f>3*Dados!$D121*Dados!D$25</f>
        <v>0</v>
      </c>
      <c r="G543" s="423">
        <f>3*Dados!$D121*Dados!E$25</f>
        <v>0</v>
      </c>
      <c r="H543" s="446">
        <f t="shared" si="64"/>
        <v>0</v>
      </c>
      <c r="I543" s="467"/>
    </row>
    <row r="544" spans="2:9" ht="12.75">
      <c r="B544" s="466"/>
      <c r="C544" s="416" t="s">
        <v>377</v>
      </c>
      <c r="D544" s="423">
        <f>3*Dados!$D122*Dados!B$25</f>
        <v>0</v>
      </c>
      <c r="E544" s="423">
        <f>3*Dados!$D122*Dados!C$25</f>
        <v>0</v>
      </c>
      <c r="F544" s="423">
        <f>3*Dados!$D122*Dados!D$25</f>
        <v>0</v>
      </c>
      <c r="G544" s="423">
        <f>3*Dados!$D122*Dados!E$25</f>
        <v>0</v>
      </c>
      <c r="H544" s="446">
        <f t="shared" si="64"/>
        <v>0</v>
      </c>
      <c r="I544" s="467"/>
    </row>
    <row r="545" spans="2:9" ht="12.75">
      <c r="B545" s="466"/>
      <c r="C545" s="416" t="s">
        <v>378</v>
      </c>
      <c r="D545" s="423">
        <f>3*Dados!$D123*Dados!B$25</f>
        <v>0</v>
      </c>
      <c r="E545" s="423">
        <f>3*Dados!$D123*Dados!C$25</f>
        <v>0</v>
      </c>
      <c r="F545" s="423">
        <f>3*Dados!$D123*Dados!D$25</f>
        <v>0</v>
      </c>
      <c r="G545" s="423">
        <f>3*Dados!$D123*Dados!E$25</f>
        <v>0</v>
      </c>
      <c r="H545" s="446">
        <f t="shared" si="64"/>
        <v>0</v>
      </c>
      <c r="I545" s="467"/>
    </row>
    <row r="546" spans="2:9" ht="12.75">
      <c r="B546" s="466"/>
      <c r="C546" s="399" t="s">
        <v>379</v>
      </c>
      <c r="D546" s="452">
        <f>SUM(D530:D545)</f>
        <v>9000</v>
      </c>
      <c r="E546" s="452">
        <f>SUM(E530:E545)</f>
        <v>9180</v>
      </c>
      <c r="F546" s="452">
        <f>SUM(F530:F545)</f>
        <v>9180</v>
      </c>
      <c r="G546" s="452">
        <f>SUM(G530:G545)</f>
        <v>9180</v>
      </c>
      <c r="H546" s="453">
        <f>SUM(D546:G546)</f>
        <v>36540</v>
      </c>
      <c r="I546" s="467"/>
    </row>
    <row r="547" spans="2:9" ht="12.75">
      <c r="B547" s="466"/>
      <c r="C547" s="399" t="s">
        <v>551</v>
      </c>
      <c r="D547" s="425"/>
      <c r="E547" s="425"/>
      <c r="F547" s="425"/>
      <c r="G547" s="425"/>
      <c r="H547" s="445"/>
      <c r="I547" s="467"/>
    </row>
    <row r="548" spans="2:9" ht="12.75">
      <c r="B548" s="466"/>
      <c r="C548" s="416" t="s">
        <v>346</v>
      </c>
      <c r="D548" s="455">
        <f>3*Dados!$E108*Dados!B$25*D$19/1000</f>
        <v>0</v>
      </c>
      <c r="E548" s="455">
        <f>3*Dados!$E108*Dados!C$25*E$19/1000</f>
        <v>0</v>
      </c>
      <c r="F548" s="455">
        <f>3*Dados!$E108*Dados!D$25*F$19/1000</f>
        <v>0</v>
      </c>
      <c r="G548" s="455">
        <f>3*Dados!$E108*Dados!E$25*G$19/1000</f>
        <v>0</v>
      </c>
      <c r="H548" s="446">
        <f>SUM(D548:G548)</f>
        <v>0</v>
      </c>
      <c r="I548" s="467"/>
    </row>
    <row r="549" spans="2:9" ht="12.75">
      <c r="B549" s="466"/>
      <c r="C549" s="416" t="s">
        <v>394</v>
      </c>
      <c r="D549" s="455">
        <f>3*Dados!$E109*Dados!B$25*D$19/1000</f>
        <v>0</v>
      </c>
      <c r="E549" s="455">
        <f>3*Dados!$E109*Dados!C$25*E$19/1000</f>
        <v>0</v>
      </c>
      <c r="F549" s="455">
        <f>3*Dados!$E109*Dados!D$25*F$19/1000</f>
        <v>0</v>
      </c>
      <c r="G549" s="455">
        <f>3*Dados!$E109*Dados!E$25*G$19/1000</f>
        <v>0</v>
      </c>
      <c r="H549" s="446">
        <f aca="true" t="shared" si="65" ref="H549:H563">SUM(D549:G549)</f>
        <v>0</v>
      </c>
      <c r="I549" s="467"/>
    </row>
    <row r="550" spans="2:9" ht="12.75">
      <c r="B550" s="466"/>
      <c r="C550" s="416" t="s">
        <v>395</v>
      </c>
      <c r="D550" s="455">
        <f>3*Dados!$E110*Dados!B$25*D$19/1000</f>
        <v>16500</v>
      </c>
      <c r="E550" s="455">
        <f>3*Dados!$E110*Dados!C$25*E$19/1000</f>
        <v>18910.8</v>
      </c>
      <c r="F550" s="455">
        <f>3*Dados!$E110*Dados!D$25*F$19/1000</f>
        <v>20896.433999999997</v>
      </c>
      <c r="G550" s="455">
        <f>3*Dados!$E110*Dados!E$25*G$19/1000</f>
        <v>23178.967559999997</v>
      </c>
      <c r="H550" s="446">
        <f t="shared" si="65"/>
        <v>79486.20155999999</v>
      </c>
      <c r="I550" s="467"/>
    </row>
    <row r="551" spans="2:9" ht="12.75">
      <c r="B551" s="466"/>
      <c r="C551" s="416" t="s">
        <v>348</v>
      </c>
      <c r="D551" s="455">
        <f>3*Dados!$E111*Dados!B$25*D$19/1000</f>
        <v>0</v>
      </c>
      <c r="E551" s="455">
        <f>3*Dados!$E111*Dados!C$25*E$19/1000</f>
        <v>0</v>
      </c>
      <c r="F551" s="455">
        <f>3*Dados!$E111*Dados!D$25*F$19/1000</f>
        <v>0</v>
      </c>
      <c r="G551" s="455">
        <f>3*Dados!$E111*Dados!E$25*G$19/1000</f>
        <v>0</v>
      </c>
      <c r="H551" s="446">
        <f t="shared" si="65"/>
        <v>0</v>
      </c>
      <c r="I551" s="467"/>
    </row>
    <row r="552" spans="2:9" ht="12.75">
      <c r="B552" s="466"/>
      <c r="C552" s="416" t="s">
        <v>381</v>
      </c>
      <c r="D552" s="455">
        <f>3*Dados!$E112*Dados!B$25*D$19/1000</f>
        <v>0</v>
      </c>
      <c r="E552" s="455">
        <f>3*Dados!$E112*Dados!C$25*E$19/1000</f>
        <v>0</v>
      </c>
      <c r="F552" s="455">
        <f>3*Dados!$E112*Dados!D$25*F$19/1000</f>
        <v>0</v>
      </c>
      <c r="G552" s="455">
        <f>3*Dados!$E112*Dados!E$25*G$19/1000</f>
        <v>0</v>
      </c>
      <c r="H552" s="446">
        <f t="shared" si="65"/>
        <v>0</v>
      </c>
      <c r="I552" s="467"/>
    </row>
    <row r="553" spans="2:9" ht="12.75">
      <c r="B553" s="466"/>
      <c r="C553" s="416" t="s">
        <v>382</v>
      </c>
      <c r="D553" s="455">
        <f>3*Dados!$E113*Dados!B$25*D$19/1000</f>
        <v>0</v>
      </c>
      <c r="E553" s="455">
        <f>3*Dados!$E113*Dados!C$25*E$19/1000</f>
        <v>0</v>
      </c>
      <c r="F553" s="455">
        <f>3*Dados!$E113*Dados!D$25*F$19/1000</f>
        <v>0</v>
      </c>
      <c r="G553" s="455">
        <f>3*Dados!$E113*Dados!E$25*G$19/1000</f>
        <v>0</v>
      </c>
      <c r="H553" s="446">
        <f t="shared" si="65"/>
        <v>0</v>
      </c>
      <c r="I553" s="467"/>
    </row>
    <row r="554" spans="2:9" ht="12.75">
      <c r="B554" s="466"/>
      <c r="C554" s="416" t="s">
        <v>399</v>
      </c>
      <c r="D554" s="455">
        <f>3*Dados!$E114*Dados!B$25*D$19/1000</f>
        <v>0</v>
      </c>
      <c r="E554" s="455">
        <f>3*Dados!$E114*Dados!C$25*E$19/1000</f>
        <v>0</v>
      </c>
      <c r="F554" s="455">
        <f>3*Dados!$E114*Dados!D$25*F$19/1000</f>
        <v>0</v>
      </c>
      <c r="G554" s="455">
        <f>3*Dados!$E114*Dados!E$25*G$19/1000</f>
        <v>0</v>
      </c>
      <c r="H554" s="446">
        <f t="shared" si="65"/>
        <v>0</v>
      </c>
      <c r="I554" s="467"/>
    </row>
    <row r="555" spans="2:9" ht="12.75">
      <c r="B555" s="466"/>
      <c r="C555" s="416" t="s">
        <v>400</v>
      </c>
      <c r="D555" s="455">
        <f>3*Dados!$E115*Dados!B$25*D$19/1000</f>
        <v>0</v>
      </c>
      <c r="E555" s="455">
        <f>3*Dados!$E115*Dados!C$25*E$19/1000</f>
        <v>0</v>
      </c>
      <c r="F555" s="455">
        <f>3*Dados!$E115*Dados!D$25*F$19/1000</f>
        <v>0</v>
      </c>
      <c r="G555" s="455">
        <f>3*Dados!$E115*Dados!E$25*G$19/1000</f>
        <v>0</v>
      </c>
      <c r="H555" s="446">
        <f t="shared" si="65"/>
        <v>0</v>
      </c>
      <c r="I555" s="467"/>
    </row>
    <row r="556" spans="2:9" ht="12.75">
      <c r="B556" s="466"/>
      <c r="C556" s="416" t="s">
        <v>401</v>
      </c>
      <c r="D556" s="455">
        <f>3*Dados!$E116*Dados!B$25*D$19/1000</f>
        <v>0</v>
      </c>
      <c r="E556" s="455">
        <f>3*Dados!$E116*Dados!C$25*E$19/1000</f>
        <v>0</v>
      </c>
      <c r="F556" s="455">
        <f>3*Dados!$E116*Dados!D$25*F$19/1000</f>
        <v>0</v>
      </c>
      <c r="G556" s="455">
        <f>3*Dados!$E116*Dados!E$25*G$19/1000</f>
        <v>0</v>
      </c>
      <c r="H556" s="446">
        <f t="shared" si="65"/>
        <v>0</v>
      </c>
      <c r="I556" s="467"/>
    </row>
    <row r="557" spans="2:9" ht="12.75">
      <c r="B557" s="466"/>
      <c r="C557" s="416" t="s">
        <v>402</v>
      </c>
      <c r="D557" s="455">
        <f>3*Dados!$E117*Dados!B$25*D$19/1000</f>
        <v>0</v>
      </c>
      <c r="E557" s="455">
        <f>3*Dados!$E117*Dados!C$25*E$19/1000</f>
        <v>0</v>
      </c>
      <c r="F557" s="455">
        <f>3*Dados!$E117*Dados!D$25*F$19/1000</f>
        <v>0</v>
      </c>
      <c r="G557" s="455">
        <f>3*Dados!$E117*Dados!E$25*G$19/1000</f>
        <v>0</v>
      </c>
      <c r="H557" s="446">
        <f t="shared" si="65"/>
        <v>0</v>
      </c>
      <c r="I557" s="467"/>
    </row>
    <row r="558" spans="2:9" ht="12.75">
      <c r="B558" s="466"/>
      <c r="C558" s="416" t="s">
        <v>548</v>
      </c>
      <c r="D558" s="455">
        <f>3*Dados!$E118*Dados!B$25*D$19/1000</f>
        <v>0</v>
      </c>
      <c r="E558" s="455">
        <f>3*Dados!$E118*Dados!C$25*E$19/1000</f>
        <v>0</v>
      </c>
      <c r="F558" s="455">
        <f>3*Dados!$E118*Dados!D$25*F$19/1000</f>
        <v>0</v>
      </c>
      <c r="G558" s="455">
        <f>3*Dados!$E118*Dados!E$25*G$19/1000</f>
        <v>0</v>
      </c>
      <c r="H558" s="446">
        <f t="shared" si="65"/>
        <v>0</v>
      </c>
      <c r="I558" s="467"/>
    </row>
    <row r="559" spans="2:9" ht="12.75">
      <c r="B559" s="466"/>
      <c r="C559" s="416" t="s">
        <v>542</v>
      </c>
      <c r="D559" s="455">
        <f>3*Dados!$E119*Dados!B$25*D$19/1000</f>
        <v>0</v>
      </c>
      <c r="E559" s="455">
        <f>3*Dados!$E119*Dados!C$25*E$19/1000</f>
        <v>0</v>
      </c>
      <c r="F559" s="455">
        <f>3*Dados!$E119*Dados!D$25*F$19/1000</f>
        <v>0</v>
      </c>
      <c r="G559" s="455">
        <f>3*Dados!$E119*Dados!E$25*G$19/1000</f>
        <v>0</v>
      </c>
      <c r="H559" s="446">
        <f t="shared" si="65"/>
        <v>0</v>
      </c>
      <c r="I559" s="467"/>
    </row>
    <row r="560" spans="2:9" ht="12.75">
      <c r="B560" s="466"/>
      <c r="C560" s="416" t="s">
        <v>543</v>
      </c>
      <c r="D560" s="455">
        <f>3*Dados!$E120*Dados!B$25*D$19/1000</f>
        <v>0</v>
      </c>
      <c r="E560" s="455">
        <f>3*Dados!$E120*Dados!C$25*E$19/1000</f>
        <v>0</v>
      </c>
      <c r="F560" s="455">
        <f>3*Dados!$E120*Dados!D$25*F$19/1000</f>
        <v>0</v>
      </c>
      <c r="G560" s="455">
        <f>3*Dados!$E120*Dados!E$25*G$19/1000</f>
        <v>0</v>
      </c>
      <c r="H560" s="446">
        <f t="shared" si="65"/>
        <v>0</v>
      </c>
      <c r="I560" s="467"/>
    </row>
    <row r="561" spans="2:9" ht="12.75">
      <c r="B561" s="466"/>
      <c r="C561" s="416" t="s">
        <v>545</v>
      </c>
      <c r="D561" s="455">
        <f>3*Dados!$E121*Dados!B$25*D$19/1000</f>
        <v>0</v>
      </c>
      <c r="E561" s="455">
        <f>3*Dados!$E121*Dados!C$25*E$19/1000</f>
        <v>0</v>
      </c>
      <c r="F561" s="455">
        <f>3*Dados!$E121*Dados!D$25*F$19/1000</f>
        <v>0</v>
      </c>
      <c r="G561" s="455">
        <f>3*Dados!$E121*Dados!E$25*G$19/1000</f>
        <v>0</v>
      </c>
      <c r="H561" s="446">
        <f t="shared" si="65"/>
        <v>0</v>
      </c>
      <c r="I561" s="467"/>
    </row>
    <row r="562" spans="2:9" ht="12.75">
      <c r="B562" s="466"/>
      <c r="C562" s="416" t="s">
        <v>377</v>
      </c>
      <c r="D562" s="455">
        <f>3*Dados!$E122*Dados!B$25*D$19/1000</f>
        <v>0</v>
      </c>
      <c r="E562" s="455">
        <f>3*Dados!$E122*Dados!C$25*E$19/1000</f>
        <v>0</v>
      </c>
      <c r="F562" s="455">
        <f>3*Dados!$E122*Dados!D$25*F$19/1000</f>
        <v>0</v>
      </c>
      <c r="G562" s="455">
        <f>3*Dados!$E122*Dados!E$25*G$19/1000</f>
        <v>0</v>
      </c>
      <c r="H562" s="446">
        <f t="shared" si="65"/>
        <v>0</v>
      </c>
      <c r="I562" s="467"/>
    </row>
    <row r="563" spans="2:9" ht="12.75">
      <c r="B563" s="466"/>
      <c r="C563" s="416" t="s">
        <v>378</v>
      </c>
      <c r="D563" s="455">
        <f>3*Dados!$E123*Dados!B$25*D$19/1000</f>
        <v>0</v>
      </c>
      <c r="E563" s="455">
        <f>3*Dados!$E123*Dados!C$25*E$19/1000</f>
        <v>0</v>
      </c>
      <c r="F563" s="455">
        <f>3*Dados!$E123*Dados!D$25*F$19/1000</f>
        <v>0</v>
      </c>
      <c r="G563" s="455">
        <f>3*Dados!$E123*Dados!E$25*G$19/1000</f>
        <v>0</v>
      </c>
      <c r="H563" s="446">
        <f t="shared" si="65"/>
        <v>0</v>
      </c>
      <c r="I563" s="467"/>
    </row>
    <row r="564" spans="2:9" ht="12.75">
      <c r="B564" s="466"/>
      <c r="C564" s="399" t="s">
        <v>379</v>
      </c>
      <c r="D564" s="424">
        <f>SUM(D552:D563)</f>
        <v>0</v>
      </c>
      <c r="E564" s="424">
        <f>SUM(E552:E563)</f>
        <v>0</v>
      </c>
      <c r="F564" s="424">
        <f>SUM(F552:F563)</f>
        <v>0</v>
      </c>
      <c r="G564" s="424">
        <f>SUM(G552:G563)</f>
        <v>0</v>
      </c>
      <c r="H564" s="446">
        <f>SUM(D564:G564)</f>
        <v>0</v>
      </c>
      <c r="I564" s="467"/>
    </row>
    <row r="565" spans="2:9" ht="12.75">
      <c r="B565" s="466"/>
      <c r="C565" s="399" t="s">
        <v>549</v>
      </c>
      <c r="D565" s="423"/>
      <c r="E565" s="423"/>
      <c r="F565" s="423"/>
      <c r="G565" s="423"/>
      <c r="H565" s="444"/>
      <c r="I565" s="467"/>
    </row>
    <row r="566" spans="2:9" ht="12.75">
      <c r="B566" s="466"/>
      <c r="C566" s="416" t="s">
        <v>346</v>
      </c>
      <c r="D566" s="423">
        <f aca="true" t="shared" si="66" ref="D566:G576">D530+D548</f>
        <v>0</v>
      </c>
      <c r="E566" s="423">
        <f t="shared" si="66"/>
        <v>0</v>
      </c>
      <c r="F566" s="423">
        <f t="shared" si="66"/>
        <v>0</v>
      </c>
      <c r="G566" s="423">
        <f t="shared" si="66"/>
        <v>0</v>
      </c>
      <c r="H566" s="446">
        <f>SUM(D566:G566)</f>
        <v>0</v>
      </c>
      <c r="I566" s="467"/>
    </row>
    <row r="567" spans="2:9" ht="12.75">
      <c r="B567" s="466"/>
      <c r="C567" s="416" t="s">
        <v>413</v>
      </c>
      <c r="D567" s="423">
        <f t="shared" si="66"/>
        <v>9000</v>
      </c>
      <c r="E567" s="423">
        <f t="shared" si="66"/>
        <v>9180</v>
      </c>
      <c r="F567" s="423">
        <f t="shared" si="66"/>
        <v>9180</v>
      </c>
      <c r="G567" s="423">
        <f t="shared" si="66"/>
        <v>9180</v>
      </c>
      <c r="H567" s="446">
        <f>SUM(D567:G567)</f>
        <v>36540</v>
      </c>
      <c r="I567" s="467"/>
    </row>
    <row r="568" spans="2:9" ht="12.75">
      <c r="B568" s="466"/>
      <c r="C568" s="416" t="s">
        <v>414</v>
      </c>
      <c r="D568" s="423">
        <f t="shared" si="66"/>
        <v>16500</v>
      </c>
      <c r="E568" s="423">
        <f t="shared" si="66"/>
        <v>18910.8</v>
      </c>
      <c r="F568" s="423">
        <f t="shared" si="66"/>
        <v>20896.433999999997</v>
      </c>
      <c r="G568" s="423">
        <f t="shared" si="66"/>
        <v>23178.967559999997</v>
      </c>
      <c r="H568" s="446">
        <f>SUM(D568:G568)</f>
        <v>79486.20155999999</v>
      </c>
      <c r="I568" s="467"/>
    </row>
    <row r="569" spans="2:9" ht="12.75">
      <c r="B569" s="466"/>
      <c r="C569" s="416" t="s">
        <v>348</v>
      </c>
      <c r="D569" s="423">
        <f t="shared" si="66"/>
        <v>0</v>
      </c>
      <c r="E569" s="423">
        <f t="shared" si="66"/>
        <v>0</v>
      </c>
      <c r="F569" s="423">
        <f t="shared" si="66"/>
        <v>0</v>
      </c>
      <c r="G569" s="423">
        <f t="shared" si="66"/>
        <v>0</v>
      </c>
      <c r="H569" s="446">
        <f aca="true" t="shared" si="67" ref="H569:H579">SUM(D569:G569)</f>
        <v>0</v>
      </c>
      <c r="I569" s="467"/>
    </row>
    <row r="570" spans="2:9" ht="12.75">
      <c r="B570" s="466"/>
      <c r="C570" s="416" t="s">
        <v>381</v>
      </c>
      <c r="D570" s="423">
        <f t="shared" si="66"/>
        <v>0</v>
      </c>
      <c r="E570" s="423">
        <f t="shared" si="66"/>
        <v>0</v>
      </c>
      <c r="F570" s="423">
        <f t="shared" si="66"/>
        <v>0</v>
      </c>
      <c r="G570" s="423">
        <f t="shared" si="66"/>
        <v>0</v>
      </c>
      <c r="H570" s="446">
        <f t="shared" si="67"/>
        <v>0</v>
      </c>
      <c r="I570" s="467"/>
    </row>
    <row r="571" spans="2:9" ht="12.75">
      <c r="B571" s="466"/>
      <c r="C571" s="416" t="s">
        <v>382</v>
      </c>
      <c r="D571" s="423">
        <f t="shared" si="66"/>
        <v>0</v>
      </c>
      <c r="E571" s="423">
        <f t="shared" si="66"/>
        <v>0</v>
      </c>
      <c r="F571" s="423">
        <f t="shared" si="66"/>
        <v>0</v>
      </c>
      <c r="G571" s="423">
        <f t="shared" si="66"/>
        <v>0</v>
      </c>
      <c r="H571" s="446">
        <f t="shared" si="67"/>
        <v>0</v>
      </c>
      <c r="I571" s="467"/>
    </row>
    <row r="572" spans="2:9" ht="12.75">
      <c r="B572" s="466"/>
      <c r="C572" s="416" t="s">
        <v>399</v>
      </c>
      <c r="D572" s="423">
        <f t="shared" si="66"/>
        <v>0</v>
      </c>
      <c r="E572" s="423">
        <f t="shared" si="66"/>
        <v>0</v>
      </c>
      <c r="F572" s="423">
        <f t="shared" si="66"/>
        <v>0</v>
      </c>
      <c r="G572" s="423">
        <f t="shared" si="66"/>
        <v>0</v>
      </c>
      <c r="H572" s="446">
        <f t="shared" si="67"/>
        <v>0</v>
      </c>
      <c r="I572" s="467"/>
    </row>
    <row r="573" spans="2:9" ht="12.75">
      <c r="B573" s="466"/>
      <c r="C573" s="416" t="s">
        <v>400</v>
      </c>
      <c r="D573" s="423">
        <f t="shared" si="66"/>
        <v>0</v>
      </c>
      <c r="E573" s="423">
        <f t="shared" si="66"/>
        <v>0</v>
      </c>
      <c r="F573" s="423">
        <f t="shared" si="66"/>
        <v>0</v>
      </c>
      <c r="G573" s="423">
        <f t="shared" si="66"/>
        <v>0</v>
      </c>
      <c r="H573" s="446">
        <f t="shared" si="67"/>
        <v>0</v>
      </c>
      <c r="I573" s="467"/>
    </row>
    <row r="574" spans="2:9" ht="12.75">
      <c r="B574" s="466"/>
      <c r="C574" s="416" t="s">
        <v>401</v>
      </c>
      <c r="D574" s="423">
        <f t="shared" si="66"/>
        <v>0</v>
      </c>
      <c r="E574" s="423">
        <f t="shared" si="66"/>
        <v>0</v>
      </c>
      <c r="F574" s="423">
        <f t="shared" si="66"/>
        <v>0</v>
      </c>
      <c r="G574" s="423">
        <f t="shared" si="66"/>
        <v>0</v>
      </c>
      <c r="H574" s="446">
        <f t="shared" si="67"/>
        <v>0</v>
      </c>
      <c r="I574" s="467"/>
    </row>
    <row r="575" spans="2:9" ht="12.75">
      <c r="B575" s="466"/>
      <c r="C575" s="416" t="s">
        <v>402</v>
      </c>
      <c r="D575" s="423">
        <f t="shared" si="66"/>
        <v>0</v>
      </c>
      <c r="E575" s="423">
        <f t="shared" si="66"/>
        <v>0</v>
      </c>
      <c r="F575" s="423">
        <f t="shared" si="66"/>
        <v>0</v>
      </c>
      <c r="G575" s="423">
        <f t="shared" si="66"/>
        <v>0</v>
      </c>
      <c r="H575" s="446">
        <f t="shared" si="67"/>
        <v>0</v>
      </c>
      <c r="I575" s="467"/>
    </row>
    <row r="576" spans="2:9" ht="12.75">
      <c r="B576" s="466"/>
      <c r="C576" s="416" t="s">
        <v>383</v>
      </c>
      <c r="D576" s="423">
        <f t="shared" si="66"/>
        <v>0</v>
      </c>
      <c r="E576" s="423">
        <f t="shared" si="66"/>
        <v>0</v>
      </c>
      <c r="F576" s="423">
        <f t="shared" si="66"/>
        <v>0</v>
      </c>
      <c r="G576" s="423">
        <f t="shared" si="66"/>
        <v>0</v>
      </c>
      <c r="H576" s="446">
        <f t="shared" si="67"/>
        <v>0</v>
      </c>
      <c r="I576" s="467"/>
    </row>
    <row r="577" spans="2:9" ht="12.75">
      <c r="B577" s="466"/>
      <c r="C577" s="416" t="s">
        <v>352</v>
      </c>
      <c r="D577" s="423">
        <f>D541+D561</f>
        <v>0</v>
      </c>
      <c r="E577" s="423">
        <f>E541+E561</f>
        <v>0</v>
      </c>
      <c r="F577" s="423">
        <f>F541+F561</f>
        <v>0</v>
      </c>
      <c r="G577" s="423">
        <f>G541+G561</f>
        <v>0</v>
      </c>
      <c r="H577" s="446">
        <f t="shared" si="67"/>
        <v>0</v>
      </c>
      <c r="I577" s="467"/>
    </row>
    <row r="578" spans="2:9" ht="12.75">
      <c r="B578" s="466"/>
      <c r="C578" s="416" t="s">
        <v>353</v>
      </c>
      <c r="D578" s="423">
        <f aca="true" t="shared" si="68" ref="D578:G579">D544+D562</f>
        <v>0</v>
      </c>
      <c r="E578" s="423">
        <f t="shared" si="68"/>
        <v>0</v>
      </c>
      <c r="F578" s="423">
        <f t="shared" si="68"/>
        <v>0</v>
      </c>
      <c r="G578" s="423">
        <f t="shared" si="68"/>
        <v>0</v>
      </c>
      <c r="H578" s="446">
        <f t="shared" si="67"/>
        <v>0</v>
      </c>
      <c r="I578" s="467"/>
    </row>
    <row r="579" spans="2:9" ht="12.75">
      <c r="B579" s="466"/>
      <c r="C579" s="416" t="s">
        <v>354</v>
      </c>
      <c r="D579" s="423">
        <f t="shared" si="68"/>
        <v>0</v>
      </c>
      <c r="E579" s="423">
        <f t="shared" si="68"/>
        <v>0</v>
      </c>
      <c r="F579" s="423">
        <f t="shared" si="68"/>
        <v>0</v>
      </c>
      <c r="G579" s="423">
        <f t="shared" si="68"/>
        <v>0</v>
      </c>
      <c r="H579" s="446">
        <f t="shared" si="67"/>
        <v>0</v>
      </c>
      <c r="I579" s="467"/>
    </row>
    <row r="580" spans="2:9" ht="12.75">
      <c r="B580" s="466"/>
      <c r="C580" s="399" t="s">
        <v>379</v>
      </c>
      <c r="D580" s="507">
        <f>SUM(D566:D579)</f>
        <v>25500</v>
      </c>
      <c r="E580" s="507">
        <f>SUM(E566:E579)</f>
        <v>28090.8</v>
      </c>
      <c r="F580" s="507">
        <f>SUM(F566:F579)</f>
        <v>30076.433999999997</v>
      </c>
      <c r="G580" s="507">
        <f>SUM(G566:G579)</f>
        <v>32358.967559999997</v>
      </c>
      <c r="H580" s="506">
        <f>SUM(D580:G580)</f>
        <v>116026.20155999999</v>
      </c>
      <c r="I580" s="467"/>
    </row>
    <row r="581" spans="2:9" ht="13.5" thickBot="1">
      <c r="B581" s="466"/>
      <c r="C581" s="419"/>
      <c r="D581" s="407"/>
      <c r="E581" s="407"/>
      <c r="F581" s="407"/>
      <c r="G581" s="407"/>
      <c r="H581" s="420"/>
      <c r="I581" s="467"/>
    </row>
    <row r="582" spans="2:9" ht="13.5" thickBot="1">
      <c r="B582" s="466"/>
      <c r="C582" s="20"/>
      <c r="D582" s="20"/>
      <c r="E582" s="20"/>
      <c r="F582" s="20"/>
      <c r="G582" s="20"/>
      <c r="H582" s="20"/>
      <c r="I582" s="467"/>
    </row>
    <row r="583" spans="2:9" ht="13.5" thickBot="1">
      <c r="B583" s="466"/>
      <c r="C583" s="39" t="s">
        <v>103</v>
      </c>
      <c r="D583" s="40" t="str">
        <f>D525</f>
        <v>Trim 1</v>
      </c>
      <c r="E583" s="40" t="str">
        <f>E525</f>
        <v>Trim 2</v>
      </c>
      <c r="F583" s="40" t="str">
        <f>F525</f>
        <v>Trim 3</v>
      </c>
      <c r="G583" s="84" t="str">
        <f>G525</f>
        <v>Trim 4</v>
      </c>
      <c r="H583" s="20"/>
      <c r="I583" s="467"/>
    </row>
    <row r="584" spans="2:9" ht="12.75">
      <c r="B584" s="466"/>
      <c r="C584" s="61" t="s">
        <v>104</v>
      </c>
      <c r="D584" s="148">
        <f>D26</f>
        <v>495000</v>
      </c>
      <c r="E584" s="148">
        <f>E26</f>
        <v>556200</v>
      </c>
      <c r="F584" s="148">
        <f>F26</f>
        <v>614600.9999999999</v>
      </c>
      <c r="G584" s="156">
        <f>G26</f>
        <v>681734.34</v>
      </c>
      <c r="H584" s="20"/>
      <c r="I584" s="467"/>
    </row>
    <row r="585" spans="2:9" ht="12.75">
      <c r="B585" s="466"/>
      <c r="C585" s="42" t="s">
        <v>105</v>
      </c>
      <c r="D585" s="89">
        <f>D584</f>
        <v>495000</v>
      </c>
      <c r="E585" s="89">
        <f>E584</f>
        <v>556200</v>
      </c>
      <c r="F585" s="89">
        <f>F584</f>
        <v>614600.9999999999</v>
      </c>
      <c r="G585" s="125">
        <f>G584</f>
        <v>681734.34</v>
      </c>
      <c r="H585" s="20"/>
      <c r="I585" s="467"/>
    </row>
    <row r="586" spans="2:9" ht="12.75">
      <c r="B586" s="466"/>
      <c r="C586" s="42" t="s">
        <v>106</v>
      </c>
      <c r="D586" s="152">
        <f>D78</f>
        <v>613090.7999999999</v>
      </c>
      <c r="E586" s="152">
        <f>E78</f>
        <v>364240.54799999995</v>
      </c>
      <c r="F586" s="152">
        <f>F78</f>
        <v>523651.39847999986</v>
      </c>
      <c r="G586" s="158">
        <f>G78</f>
        <v>556049.7970775999</v>
      </c>
      <c r="H586" s="20"/>
      <c r="I586" s="467"/>
    </row>
    <row r="587" spans="2:9" ht="12.75">
      <c r="B587" s="466"/>
      <c r="C587" s="42" t="s">
        <v>107</v>
      </c>
      <c r="D587" s="89">
        <f>D585-D586</f>
        <v>-118090.79999999993</v>
      </c>
      <c r="E587" s="89">
        <f>E585-E586</f>
        <v>191959.45200000005</v>
      </c>
      <c r="F587" s="89">
        <f>F585-F586</f>
        <v>90949.60152000003</v>
      </c>
      <c r="G587" s="125">
        <f>G585-G586</f>
        <v>125684.54292240005</v>
      </c>
      <c r="H587" s="20"/>
      <c r="I587" s="467"/>
    </row>
    <row r="588" spans="2:9" ht="12.75">
      <c r="B588" s="466"/>
      <c r="C588" s="42" t="s">
        <v>124</v>
      </c>
      <c r="D588" s="62">
        <f>D31</f>
        <v>90</v>
      </c>
      <c r="E588" s="62">
        <f>E31</f>
        <v>91</v>
      </c>
      <c r="F588" s="62">
        <f>F31</f>
        <v>92</v>
      </c>
      <c r="G588" s="159">
        <f>G31</f>
        <v>91</v>
      </c>
      <c r="H588" s="20"/>
      <c r="I588" s="467"/>
    </row>
    <row r="589" spans="2:9" ht="12.75">
      <c r="B589" s="466"/>
      <c r="C589" s="42" t="s">
        <v>125</v>
      </c>
      <c r="D589" s="89">
        <f>D587/D588</f>
        <v>-1312.1199999999992</v>
      </c>
      <c r="E589" s="89">
        <f>E587/E588</f>
        <v>2109.444527472528</v>
      </c>
      <c r="F589" s="89">
        <f>F587/F588</f>
        <v>988.5826252173916</v>
      </c>
      <c r="G589" s="125">
        <f>G587/G588</f>
        <v>1381.1488233230775</v>
      </c>
      <c r="H589" s="20"/>
      <c r="I589" s="467"/>
    </row>
    <row r="590" spans="2:9" ht="12.75">
      <c r="B590" s="466"/>
      <c r="C590" s="42" t="s">
        <v>126</v>
      </c>
      <c r="D590" s="511">
        <f>Dados!B125</f>
        <v>30</v>
      </c>
      <c r="E590" s="62">
        <f>D590</f>
        <v>30</v>
      </c>
      <c r="F590" s="62">
        <f>E590</f>
        <v>30</v>
      </c>
      <c r="G590" s="159">
        <f>F590</f>
        <v>30</v>
      </c>
      <c r="H590" s="20"/>
      <c r="I590" s="467"/>
    </row>
    <row r="591" spans="2:9" ht="13.5" thickBot="1">
      <c r="B591" s="466"/>
      <c r="C591" s="63" t="s">
        <v>127</v>
      </c>
      <c r="D591" s="153">
        <f>D589*D590</f>
        <v>-39363.59999999998</v>
      </c>
      <c r="E591" s="153">
        <f>E589*E590</f>
        <v>63283.33582417584</v>
      </c>
      <c r="F591" s="153">
        <f>F589*F590</f>
        <v>29657.47875652175</v>
      </c>
      <c r="G591" s="160">
        <f>G589*G590</f>
        <v>41434.464699692326</v>
      </c>
      <c r="H591" s="20"/>
      <c r="I591" s="467"/>
    </row>
    <row r="592" spans="2:9" ht="12.75">
      <c r="B592" s="466"/>
      <c r="C592" s="61" t="s">
        <v>128</v>
      </c>
      <c r="D592" s="512">
        <f>Dados!B126</f>
        <v>0</v>
      </c>
      <c r="E592" s="148">
        <f>D594</f>
        <v>-39363.59999999998</v>
      </c>
      <c r="F592" s="148">
        <f>E594</f>
        <v>63283.33582417584</v>
      </c>
      <c r="G592" s="156">
        <f>F594</f>
        <v>29657.47875652175</v>
      </c>
      <c r="H592" s="20"/>
      <c r="I592" s="467"/>
    </row>
    <row r="593" spans="2:9" ht="12.75">
      <c r="B593" s="466"/>
      <c r="C593" s="42" t="s">
        <v>129</v>
      </c>
      <c r="D593" s="89">
        <f>D587</f>
        <v>-118090.79999999993</v>
      </c>
      <c r="E593" s="89">
        <f>E587</f>
        <v>191959.45200000005</v>
      </c>
      <c r="F593" s="89">
        <f>F587</f>
        <v>90949.60152000003</v>
      </c>
      <c r="G593" s="125">
        <f>G587</f>
        <v>125684.54292240005</v>
      </c>
      <c r="H593" s="20"/>
      <c r="I593" s="467"/>
    </row>
    <row r="594" spans="2:9" ht="13.5" thickBot="1">
      <c r="B594" s="466"/>
      <c r="C594" s="64" t="s">
        <v>130</v>
      </c>
      <c r="D594" s="155">
        <f>D591</f>
        <v>-39363.59999999998</v>
      </c>
      <c r="E594" s="155">
        <f>E591</f>
        <v>63283.33582417584</v>
      </c>
      <c r="F594" s="155">
        <f>F591</f>
        <v>29657.47875652175</v>
      </c>
      <c r="G594" s="157">
        <f>G591</f>
        <v>41434.464699692326</v>
      </c>
      <c r="H594" s="20"/>
      <c r="I594" s="467"/>
    </row>
    <row r="595" spans="2:9" ht="13.5" thickBot="1">
      <c r="B595" s="466"/>
      <c r="C595" s="65" t="s">
        <v>108</v>
      </c>
      <c r="D595" s="163">
        <f>D593-D594</f>
        <v>-78727.19999999995</v>
      </c>
      <c r="E595" s="163">
        <f>E592+E593-E594</f>
        <v>89312.51617582423</v>
      </c>
      <c r="F595" s="163">
        <f>F592+F593-F594</f>
        <v>124575.45858765414</v>
      </c>
      <c r="G595" s="164">
        <f>G592+G593-G594</f>
        <v>113907.55697922947</v>
      </c>
      <c r="H595" s="20"/>
      <c r="I595" s="467"/>
    </row>
    <row r="596" spans="2:9" ht="13.5" thickBot="1">
      <c r="B596" s="466"/>
      <c r="C596" s="508"/>
      <c r="D596" s="509"/>
      <c r="E596" s="509"/>
      <c r="F596" s="509"/>
      <c r="G596" s="510"/>
      <c r="H596" s="20"/>
      <c r="I596" s="467"/>
    </row>
    <row r="597" spans="2:9" ht="12.75">
      <c r="B597" s="466"/>
      <c r="C597" s="61" t="s">
        <v>552</v>
      </c>
      <c r="D597" s="148">
        <f>D25</f>
        <v>275000</v>
      </c>
      <c r="E597" s="148">
        <f>E25</f>
        <v>309000</v>
      </c>
      <c r="F597" s="148">
        <f>F25</f>
        <v>341445</v>
      </c>
      <c r="G597" s="156">
        <f>G25</f>
        <v>378741.30000000005</v>
      </c>
      <c r="H597" s="20"/>
      <c r="I597" s="467"/>
    </row>
    <row r="598" spans="2:9" ht="12.75">
      <c r="B598" s="466"/>
      <c r="C598" s="42" t="s">
        <v>553</v>
      </c>
      <c r="D598" s="89">
        <f>D597</f>
        <v>275000</v>
      </c>
      <c r="E598" s="89">
        <f>E597</f>
        <v>309000</v>
      </c>
      <c r="F598" s="89">
        <f>F597</f>
        <v>341445</v>
      </c>
      <c r="G598" s="125">
        <f>G597</f>
        <v>378741.30000000005</v>
      </c>
      <c r="H598" s="20"/>
      <c r="I598" s="467"/>
    </row>
    <row r="599" spans="2:9" ht="12.75">
      <c r="B599" s="466"/>
      <c r="C599" s="42" t="s">
        <v>554</v>
      </c>
      <c r="D599" s="152">
        <f>D77</f>
        <v>340606</v>
      </c>
      <c r="E599" s="152">
        <f>E77</f>
        <v>202355.86</v>
      </c>
      <c r="F599" s="152">
        <f>F77</f>
        <v>290917.44359999994</v>
      </c>
      <c r="G599" s="158">
        <f>G77</f>
        <v>308916.55393199995</v>
      </c>
      <c r="H599" s="20"/>
      <c r="I599" s="467"/>
    </row>
    <row r="600" spans="2:9" ht="12.75">
      <c r="B600" s="466"/>
      <c r="C600" s="42" t="s">
        <v>555</v>
      </c>
      <c r="D600" s="89">
        <f>D598-D599</f>
        <v>-65606</v>
      </c>
      <c r="E600" s="89">
        <f>E598-E599</f>
        <v>106644.14000000001</v>
      </c>
      <c r="F600" s="89">
        <f>F598-F599</f>
        <v>50527.55640000006</v>
      </c>
      <c r="G600" s="125">
        <f>G598-G599</f>
        <v>69824.7460680001</v>
      </c>
      <c r="H600" s="20"/>
      <c r="I600" s="467"/>
    </row>
    <row r="601" spans="2:9" ht="12.75">
      <c r="B601" s="466"/>
      <c r="C601" s="42" t="s">
        <v>124</v>
      </c>
      <c r="D601" s="62">
        <f>D588</f>
        <v>90</v>
      </c>
      <c r="E601" s="62">
        <f>E588</f>
        <v>91</v>
      </c>
      <c r="F601" s="62">
        <f>F588</f>
        <v>92</v>
      </c>
      <c r="G601" s="159">
        <f>G588</f>
        <v>91</v>
      </c>
      <c r="H601" s="20"/>
      <c r="I601" s="467"/>
    </row>
    <row r="602" spans="2:9" ht="12.75">
      <c r="B602" s="466"/>
      <c r="C602" s="42" t="s">
        <v>556</v>
      </c>
      <c r="D602" s="89">
        <f>D600/D601</f>
        <v>-728.9555555555555</v>
      </c>
      <c r="E602" s="89">
        <f>E600/E601</f>
        <v>1171.9136263736266</v>
      </c>
      <c r="F602" s="89">
        <f>F600/F601</f>
        <v>549.212569565218</v>
      </c>
      <c r="G602" s="125">
        <f>G600/G601</f>
        <v>767.3049018461548</v>
      </c>
      <c r="H602" s="20"/>
      <c r="I602" s="467"/>
    </row>
    <row r="603" spans="2:9" ht="12.75">
      <c r="B603" s="466"/>
      <c r="C603" s="42" t="s">
        <v>557</v>
      </c>
      <c r="D603" s="511">
        <f>Dados!B125</f>
        <v>30</v>
      </c>
      <c r="E603" s="62">
        <f>D603</f>
        <v>30</v>
      </c>
      <c r="F603" s="62">
        <f>E603</f>
        <v>30</v>
      </c>
      <c r="G603" s="159">
        <f>F603</f>
        <v>30</v>
      </c>
      <c r="H603" s="20"/>
      <c r="I603" s="467"/>
    </row>
    <row r="604" spans="2:9" ht="13.5" thickBot="1">
      <c r="B604" s="466"/>
      <c r="C604" s="63" t="s">
        <v>558</v>
      </c>
      <c r="D604" s="153">
        <f>D602*D603</f>
        <v>-21868.666666666664</v>
      </c>
      <c r="E604" s="153">
        <f>E602*E603</f>
        <v>35157.4087912088</v>
      </c>
      <c r="F604" s="153">
        <f>F602*F603</f>
        <v>16476.37708695654</v>
      </c>
      <c r="G604" s="160">
        <f>G602*G603</f>
        <v>23019.147055384645</v>
      </c>
      <c r="H604" s="20"/>
      <c r="I604" s="467"/>
    </row>
    <row r="605" spans="2:9" ht="12.75">
      <c r="B605" s="466"/>
      <c r="C605" s="61" t="s">
        <v>559</v>
      </c>
      <c r="D605" s="512">
        <f>Dados!B127</f>
        <v>0</v>
      </c>
      <c r="E605" s="148">
        <f>D607</f>
        <v>-21868.666666666664</v>
      </c>
      <c r="F605" s="148">
        <f>E607</f>
        <v>35157.4087912088</v>
      </c>
      <c r="G605" s="156">
        <f>F607</f>
        <v>16476.37708695654</v>
      </c>
      <c r="H605" s="20"/>
      <c r="I605" s="467"/>
    </row>
    <row r="606" spans="2:9" ht="12.75">
      <c r="B606" s="466"/>
      <c r="C606" s="42" t="s">
        <v>560</v>
      </c>
      <c r="D606" s="89">
        <f>D600</f>
        <v>-65606</v>
      </c>
      <c r="E606" s="89">
        <f>E600</f>
        <v>106644.14000000001</v>
      </c>
      <c r="F606" s="89">
        <f>F600</f>
        <v>50527.55640000006</v>
      </c>
      <c r="G606" s="125">
        <f>G600</f>
        <v>69824.7460680001</v>
      </c>
      <c r="H606" s="20"/>
      <c r="I606" s="467"/>
    </row>
    <row r="607" spans="2:9" ht="13.5" thickBot="1">
      <c r="B607" s="466"/>
      <c r="C607" s="64" t="s">
        <v>561</v>
      </c>
      <c r="D607" s="155">
        <f>D604</f>
        <v>-21868.666666666664</v>
      </c>
      <c r="E607" s="155">
        <f>E604</f>
        <v>35157.4087912088</v>
      </c>
      <c r="F607" s="155">
        <f>F604</f>
        <v>16476.37708695654</v>
      </c>
      <c r="G607" s="157">
        <f>G604</f>
        <v>23019.147055384645</v>
      </c>
      <c r="H607" s="20"/>
      <c r="I607" s="467"/>
    </row>
    <row r="608" spans="2:9" ht="13.5" thickBot="1">
      <c r="B608" s="466"/>
      <c r="C608" s="65" t="s">
        <v>562</v>
      </c>
      <c r="D608" s="163">
        <f>D606-D607</f>
        <v>-43737.333333333336</v>
      </c>
      <c r="E608" s="163">
        <f>E605+E606-E607</f>
        <v>49618.06454212456</v>
      </c>
      <c r="F608" s="163">
        <f>F605+F606-F607</f>
        <v>69208.58810425233</v>
      </c>
      <c r="G608" s="164">
        <f>G605+G606-G607</f>
        <v>63281.976099572</v>
      </c>
      <c r="H608" s="20"/>
      <c r="I608" s="467"/>
    </row>
    <row r="609" spans="2:9" ht="13.5" thickBot="1">
      <c r="B609" s="466"/>
      <c r="C609" s="20"/>
      <c r="D609" s="20"/>
      <c r="E609" s="20"/>
      <c r="F609" s="20"/>
      <c r="G609" s="20"/>
      <c r="H609" s="20"/>
      <c r="I609" s="467"/>
    </row>
    <row r="610" spans="2:9" ht="13.5" thickBot="1">
      <c r="B610" s="466"/>
      <c r="C610" s="39" t="s">
        <v>564</v>
      </c>
      <c r="D610" s="40" t="str">
        <f>D583</f>
        <v>Trim 1</v>
      </c>
      <c r="E610" s="40" t="str">
        <f>E583</f>
        <v>Trim 2</v>
      </c>
      <c r="F610" s="40" t="str">
        <f>F583</f>
        <v>Trim 3</v>
      </c>
      <c r="G610" s="84" t="str">
        <f>G583</f>
        <v>Trim 4</v>
      </c>
      <c r="H610" s="20"/>
      <c r="I610" s="467"/>
    </row>
    <row r="611" spans="2:9" ht="12.75">
      <c r="B611" s="466"/>
      <c r="C611" s="41" t="s">
        <v>565</v>
      </c>
      <c r="D611" s="98">
        <f>Dados!B129</f>
        <v>0</v>
      </c>
      <c r="E611" s="98">
        <f>Dados!C129</f>
        <v>0</v>
      </c>
      <c r="F611" s="98">
        <f>Dados!D129</f>
        <v>0</v>
      </c>
      <c r="G611" s="124">
        <f>Dados!E129</f>
        <v>0</v>
      </c>
      <c r="H611" s="20"/>
      <c r="I611" s="467"/>
    </row>
    <row r="612" spans="2:9" ht="12.75">
      <c r="B612" s="466"/>
      <c r="C612" s="42" t="s">
        <v>566</v>
      </c>
      <c r="D612" s="98">
        <f>Dados!B130</f>
        <v>0</v>
      </c>
      <c r="E612" s="98">
        <f>Dados!C130</f>
        <v>0</v>
      </c>
      <c r="F612" s="98">
        <f>Dados!D130</f>
        <v>0</v>
      </c>
      <c r="G612" s="124">
        <f>Dados!E130</f>
        <v>0</v>
      </c>
      <c r="H612" s="20"/>
      <c r="I612" s="467"/>
    </row>
    <row r="613" spans="2:9" ht="12.75">
      <c r="B613" s="466"/>
      <c r="C613" s="42" t="s">
        <v>567</v>
      </c>
      <c r="D613" s="98">
        <f>Dados!B131</f>
        <v>0</v>
      </c>
      <c r="E613" s="98">
        <f>Dados!C131</f>
        <v>0</v>
      </c>
      <c r="F613" s="98">
        <f>Dados!D131</f>
        <v>0</v>
      </c>
      <c r="G613" s="124">
        <f>Dados!E131</f>
        <v>0</v>
      </c>
      <c r="H613" s="20"/>
      <c r="I613" s="467"/>
    </row>
    <row r="614" spans="2:9" ht="12.75">
      <c r="B614" s="466"/>
      <c r="C614" s="42" t="s">
        <v>568</v>
      </c>
      <c r="D614" s="98">
        <f>Dados!B132</f>
        <v>0</v>
      </c>
      <c r="E614" s="98">
        <f>Dados!C132</f>
        <v>0</v>
      </c>
      <c r="F614" s="98">
        <f>Dados!D132</f>
        <v>0</v>
      </c>
      <c r="G614" s="124">
        <f>Dados!E132</f>
        <v>0</v>
      </c>
      <c r="H614" s="20"/>
      <c r="I614" s="467"/>
    </row>
    <row r="615" spans="2:9" ht="12.75">
      <c r="B615" s="466"/>
      <c r="C615" s="42" t="s">
        <v>569</v>
      </c>
      <c r="D615" s="98">
        <f>Dados!B133</f>
        <v>0</v>
      </c>
      <c r="E615" s="98">
        <f>Dados!C133</f>
        <v>0</v>
      </c>
      <c r="F615" s="98">
        <f>Dados!D133</f>
        <v>0</v>
      </c>
      <c r="G615" s="124">
        <f>Dados!E133</f>
        <v>0</v>
      </c>
      <c r="H615" s="20"/>
      <c r="I615" s="467"/>
    </row>
    <row r="616" spans="2:9" ht="12.75">
      <c r="B616" s="466"/>
      <c r="C616" s="42" t="s">
        <v>570</v>
      </c>
      <c r="D616" s="98">
        <f>Dados!B134</f>
        <v>500</v>
      </c>
      <c r="E616" s="98">
        <f>Dados!C134</f>
        <v>500</v>
      </c>
      <c r="F616" s="98">
        <f>Dados!D134</f>
        <v>500</v>
      </c>
      <c r="G616" s="124">
        <f>Dados!E134</f>
        <v>500</v>
      </c>
      <c r="H616" s="20"/>
      <c r="I616" s="467"/>
    </row>
    <row r="617" spans="2:9" ht="12.75">
      <c r="B617" s="466"/>
      <c r="C617" s="42" t="s">
        <v>571</v>
      </c>
      <c r="D617" s="98">
        <f>Dados!B135</f>
        <v>0</v>
      </c>
      <c r="E617" s="98">
        <f>Dados!C135</f>
        <v>0</v>
      </c>
      <c r="F617" s="98">
        <f>Dados!D135</f>
        <v>0</v>
      </c>
      <c r="G617" s="124">
        <f>Dados!E135</f>
        <v>0</v>
      </c>
      <c r="H617" s="20"/>
      <c r="I617" s="467"/>
    </row>
    <row r="618" spans="2:9" ht="12.75">
      <c r="B618" s="466"/>
      <c r="C618" s="42" t="s">
        <v>572</v>
      </c>
      <c r="D618" s="98">
        <f>Dados!B136</f>
        <v>0</v>
      </c>
      <c r="E618" s="98">
        <f>Dados!C136</f>
        <v>0</v>
      </c>
      <c r="F618" s="98">
        <f>Dados!D136</f>
        <v>0</v>
      </c>
      <c r="G618" s="124">
        <f>Dados!E136</f>
        <v>0</v>
      </c>
      <c r="H618" s="20"/>
      <c r="I618" s="467"/>
    </row>
    <row r="619" spans="2:9" ht="12.75">
      <c r="B619" s="466"/>
      <c r="C619" s="42" t="s">
        <v>573</v>
      </c>
      <c r="D619" s="98">
        <f>Dados!B137</f>
        <v>0</v>
      </c>
      <c r="E619" s="98">
        <f>Dados!C137</f>
        <v>0</v>
      </c>
      <c r="F619" s="98">
        <f>Dados!D137</f>
        <v>0</v>
      </c>
      <c r="G619" s="124">
        <f>Dados!E137</f>
        <v>0</v>
      </c>
      <c r="H619" s="20"/>
      <c r="I619" s="467"/>
    </row>
    <row r="620" spans="2:9" ht="13.5" thickBot="1">
      <c r="B620" s="466"/>
      <c r="C620" s="64" t="s">
        <v>574</v>
      </c>
      <c r="D620" s="513">
        <f>SUM(D611:D619)</f>
        <v>500</v>
      </c>
      <c r="E620" s="513">
        <f>SUM(E611:E619)</f>
        <v>500</v>
      </c>
      <c r="F620" s="513">
        <f>SUM(F611:F619)</f>
        <v>500</v>
      </c>
      <c r="G620" s="514">
        <f>SUM(G611:G619)</f>
        <v>500</v>
      </c>
      <c r="H620" s="20"/>
      <c r="I620" s="467"/>
    </row>
    <row r="621" spans="2:9" ht="12.75">
      <c r="B621" s="466"/>
      <c r="C621" s="20"/>
      <c r="D621" s="20"/>
      <c r="E621" s="20"/>
      <c r="F621" s="20"/>
      <c r="G621" s="20"/>
      <c r="H621" s="20"/>
      <c r="I621" s="467"/>
    </row>
    <row r="622" spans="2:9" ht="13.5" thickBot="1">
      <c r="B622" s="470"/>
      <c r="C622" s="471"/>
      <c r="D622" s="471"/>
      <c r="E622" s="471"/>
      <c r="F622" s="471"/>
      <c r="G622" s="471"/>
      <c r="H622" s="471"/>
      <c r="I622" s="472"/>
    </row>
    <row r="623" ht="13.5" thickBot="1"/>
    <row r="624" spans="2:14" ht="12.75">
      <c r="B624" s="463" t="s">
        <v>639</v>
      </c>
      <c r="C624" s="464"/>
      <c r="D624" s="464"/>
      <c r="E624" s="464"/>
      <c r="F624" s="464"/>
      <c r="G624" s="464"/>
      <c r="H624" s="464"/>
      <c r="I624" s="464"/>
      <c r="J624" s="464"/>
      <c r="K624" s="464"/>
      <c r="L624" s="464"/>
      <c r="M624" s="464"/>
      <c r="N624" s="465"/>
    </row>
    <row r="625" spans="2:14" ht="13.5" thickBot="1">
      <c r="B625" s="46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67"/>
    </row>
    <row r="626" spans="2:14" ht="13.5" thickBot="1">
      <c r="B626" s="466"/>
      <c r="C626" s="222"/>
      <c r="D626" s="223" t="s">
        <v>72</v>
      </c>
      <c r="E626" s="223" t="s">
        <v>73</v>
      </c>
      <c r="F626" s="223" t="s">
        <v>74</v>
      </c>
      <c r="G626" s="225" t="s">
        <v>75</v>
      </c>
      <c r="H626" s="20"/>
      <c r="I626" s="20"/>
      <c r="J626" s="20"/>
      <c r="K626" s="20"/>
      <c r="L626" s="20"/>
      <c r="M626" s="20"/>
      <c r="N626" s="467"/>
    </row>
    <row r="627" spans="2:14" ht="12.75">
      <c r="B627" s="466"/>
      <c r="C627" s="41" t="s">
        <v>68</v>
      </c>
      <c r="D627" s="605">
        <f>Dados!B3</f>
        <v>0.03</v>
      </c>
      <c r="E627" s="605">
        <f>Dados!C3</f>
        <v>0.02</v>
      </c>
      <c r="F627" s="605">
        <f>Dados!D3</f>
        <v>0.03</v>
      </c>
      <c r="G627" s="606">
        <f>Dados!E3</f>
        <v>0.04</v>
      </c>
      <c r="H627" s="20"/>
      <c r="I627" s="20"/>
      <c r="J627" s="20"/>
      <c r="K627" s="20"/>
      <c r="L627" s="20"/>
      <c r="M627" s="20"/>
      <c r="N627" s="467"/>
    </row>
    <row r="628" spans="2:14" ht="12.75">
      <c r="B628" s="466"/>
      <c r="C628" s="42" t="s">
        <v>69</v>
      </c>
      <c r="D628" s="607">
        <f>Dados!B4</f>
        <v>0.035</v>
      </c>
      <c r="E628" s="607">
        <f>Dados!C4</f>
        <v>0.02</v>
      </c>
      <c r="F628" s="607">
        <f>Dados!D4</f>
        <v>0.02</v>
      </c>
      <c r="G628" s="608">
        <f>Dados!E4</f>
        <v>0.03</v>
      </c>
      <c r="H628" s="20"/>
      <c r="I628" s="20"/>
      <c r="J628" s="20"/>
      <c r="K628" s="20"/>
      <c r="L628" s="20"/>
      <c r="M628" s="20"/>
      <c r="N628" s="467"/>
    </row>
    <row r="629" spans="2:14" ht="12.75">
      <c r="B629" s="466"/>
      <c r="C629" s="289" t="s">
        <v>70</v>
      </c>
      <c r="D629" s="609">
        <f>D627</f>
        <v>0.03</v>
      </c>
      <c r="E629" s="609">
        <f>(1+D627)*(1+E627)-1</f>
        <v>0.05059999999999998</v>
      </c>
      <c r="F629" s="609">
        <f>(1+D627)*(1+E627)*(1+F627)-1</f>
        <v>0.08211799999999991</v>
      </c>
      <c r="G629" s="610">
        <f>(1+D627)*(1+E627)*(1+F627)*(1+G627)-1</f>
        <v>0.12540271999999986</v>
      </c>
      <c r="H629" s="20"/>
      <c r="I629" s="20"/>
      <c r="J629" s="20"/>
      <c r="K629" s="20"/>
      <c r="L629" s="20"/>
      <c r="M629" s="20"/>
      <c r="N629" s="467"/>
    </row>
    <row r="630" spans="2:14" ht="13.5" thickBot="1">
      <c r="B630" s="466"/>
      <c r="C630" s="292" t="s">
        <v>71</v>
      </c>
      <c r="D630" s="611">
        <f>D628</f>
        <v>0.035</v>
      </c>
      <c r="E630" s="611">
        <f>(1+D628)*(1+E628)-1</f>
        <v>0.05569999999999986</v>
      </c>
      <c r="F630" s="611">
        <f>(1+D628)*(1+E628)*(1+F628)-1</f>
        <v>0.07681399999999994</v>
      </c>
      <c r="G630" s="612">
        <f>(1+D628)*(1+E628)*(1+F628)*(1+G628)-1</f>
        <v>0.10911841999999994</v>
      </c>
      <c r="H630" s="20"/>
      <c r="I630" s="20"/>
      <c r="J630" s="20"/>
      <c r="K630" s="20"/>
      <c r="L630" s="20"/>
      <c r="M630" s="20"/>
      <c r="N630" s="467"/>
    </row>
    <row r="631" spans="2:14" ht="13.5" thickBot="1">
      <c r="B631" s="466"/>
      <c r="C631" s="20"/>
      <c r="D631" s="613"/>
      <c r="E631" s="613"/>
      <c r="F631" s="613"/>
      <c r="G631" s="613"/>
      <c r="H631" s="20"/>
      <c r="I631" s="20"/>
      <c r="J631" s="20"/>
      <c r="K631" s="20"/>
      <c r="L631" s="20"/>
      <c r="M631" s="20"/>
      <c r="N631" s="467"/>
    </row>
    <row r="632" spans="2:14" ht="13.5" thickBot="1">
      <c r="B632" s="466"/>
      <c r="C632" s="614" t="s">
        <v>76</v>
      </c>
      <c r="D632" s="615" t="s">
        <v>72</v>
      </c>
      <c r="E632" s="615" t="s">
        <v>73</v>
      </c>
      <c r="F632" s="615" t="s">
        <v>74</v>
      </c>
      <c r="G632" s="616" t="s">
        <v>75</v>
      </c>
      <c r="H632" s="20"/>
      <c r="I632" s="20"/>
      <c r="J632" s="20"/>
      <c r="K632" s="20"/>
      <c r="L632" s="20"/>
      <c r="M632" s="20"/>
      <c r="N632" s="467"/>
    </row>
    <row r="633" spans="2:14" ht="12.75">
      <c r="B633" s="466"/>
      <c r="C633" s="61" t="s">
        <v>80</v>
      </c>
      <c r="D633" s="512">
        <f>Dados!B142</f>
        <v>300000</v>
      </c>
      <c r="E633" s="148">
        <f>D635</f>
        <v>300000</v>
      </c>
      <c r="F633" s="148">
        <f>E635</f>
        <v>330000</v>
      </c>
      <c r="G633" s="156">
        <f>F635</f>
        <v>350000</v>
      </c>
      <c r="H633" s="20"/>
      <c r="I633" s="20"/>
      <c r="J633" s="20"/>
      <c r="K633" s="20"/>
      <c r="L633" s="20"/>
      <c r="M633" s="20"/>
      <c r="N633" s="467"/>
    </row>
    <row r="634" spans="2:14" ht="12.75">
      <c r="B634" s="466"/>
      <c r="C634" s="42" t="s">
        <v>78</v>
      </c>
      <c r="D634" s="364">
        <f>Dados!B143</f>
        <v>0</v>
      </c>
      <c r="E634" s="364">
        <f>Dados!C143</f>
        <v>30000</v>
      </c>
      <c r="F634" s="364">
        <f>Dados!D143</f>
        <v>20000</v>
      </c>
      <c r="G634" s="365">
        <f>Dados!E143</f>
        <v>0</v>
      </c>
      <c r="H634" s="20"/>
      <c r="I634" s="20"/>
      <c r="J634" s="20"/>
      <c r="K634" s="20"/>
      <c r="L634" s="20"/>
      <c r="M634" s="20"/>
      <c r="N634" s="467"/>
    </row>
    <row r="635" spans="2:14" ht="13.5" thickBot="1">
      <c r="B635" s="466"/>
      <c r="C635" s="50" t="s">
        <v>79</v>
      </c>
      <c r="D635" s="51">
        <f>D633+D634</f>
        <v>300000</v>
      </c>
      <c r="E635" s="51">
        <f>E633+E634</f>
        <v>330000</v>
      </c>
      <c r="F635" s="51">
        <f>F633+F634</f>
        <v>350000</v>
      </c>
      <c r="G635" s="123">
        <f>G633+G634</f>
        <v>350000</v>
      </c>
      <c r="H635" s="20"/>
      <c r="I635" s="20"/>
      <c r="J635" s="20"/>
      <c r="K635" s="20"/>
      <c r="L635" s="20"/>
      <c r="M635" s="20"/>
      <c r="N635" s="467"/>
    </row>
    <row r="636" spans="2:14" ht="12.75">
      <c r="B636" s="46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67"/>
    </row>
    <row r="637" spans="2:14" ht="13.5" thickBot="1">
      <c r="B637" s="466"/>
      <c r="C637" s="20" t="s">
        <v>99</v>
      </c>
      <c r="D637" s="20"/>
      <c r="E637" s="20"/>
      <c r="F637" s="20"/>
      <c r="G637" s="20"/>
      <c r="H637" s="20"/>
      <c r="I637" s="20"/>
      <c r="J637" s="20" t="s">
        <v>100</v>
      </c>
      <c r="K637" s="20"/>
      <c r="L637" s="20"/>
      <c r="M637" s="20"/>
      <c r="N637" s="467"/>
    </row>
    <row r="638" spans="2:14" ht="13.5" thickBot="1">
      <c r="B638" s="466"/>
      <c r="C638" s="39" t="s">
        <v>77</v>
      </c>
      <c r="D638" s="40" t="s">
        <v>72</v>
      </c>
      <c r="E638" s="40" t="s">
        <v>73</v>
      </c>
      <c r="F638" s="40" t="s">
        <v>74</v>
      </c>
      <c r="G638" s="84" t="s">
        <v>75</v>
      </c>
      <c r="H638" s="468"/>
      <c r="I638" s="468" t="s">
        <v>93</v>
      </c>
      <c r="J638" s="6" t="s">
        <v>72</v>
      </c>
      <c r="K638" s="7" t="s">
        <v>73</v>
      </c>
      <c r="L638" s="7" t="s">
        <v>74</v>
      </c>
      <c r="M638" s="8" t="s">
        <v>75</v>
      </c>
      <c r="N638" s="467"/>
    </row>
    <row r="639" spans="2:14" ht="12.75">
      <c r="B639" s="466"/>
      <c r="C639" s="60" t="s">
        <v>81</v>
      </c>
      <c r="D639" s="98">
        <f>D633</f>
        <v>300000</v>
      </c>
      <c r="E639" s="98">
        <f>D642</f>
        <v>309000</v>
      </c>
      <c r="F639" s="98">
        <f>E642</f>
        <v>346698</v>
      </c>
      <c r="G639" s="124">
        <f>F642</f>
        <v>378741.3</v>
      </c>
      <c r="H639" s="604"/>
      <c r="I639" s="604"/>
      <c r="J639" s="28">
        <f>D639</f>
        <v>300000</v>
      </c>
      <c r="K639" s="9">
        <f>J642</f>
        <v>309000</v>
      </c>
      <c r="L639" s="9">
        <f>K642</f>
        <v>346698</v>
      </c>
      <c r="M639" s="10">
        <f>L642</f>
        <v>378741.3</v>
      </c>
      <c r="N639" s="467"/>
    </row>
    <row r="640" spans="2:14" ht="12.75">
      <c r="B640" s="466"/>
      <c r="C640" s="53" t="s">
        <v>82</v>
      </c>
      <c r="D640" s="136">
        <f>D634*(1+D630)</f>
        <v>0</v>
      </c>
      <c r="E640" s="136">
        <f>E634*(1+E630)</f>
        <v>31670.999999999996</v>
      </c>
      <c r="F640" s="136">
        <f>F634*(1+F630)</f>
        <v>21536.28</v>
      </c>
      <c r="G640" s="137">
        <f>G634*(1+G630)</f>
        <v>0</v>
      </c>
      <c r="H640" s="604"/>
      <c r="I640" s="604"/>
      <c r="J640" s="29">
        <f>D640</f>
        <v>0</v>
      </c>
      <c r="K640" s="2">
        <f>E634</f>
        <v>30000</v>
      </c>
      <c r="L640" s="2">
        <f>F634</f>
        <v>20000</v>
      </c>
      <c r="M640" s="3">
        <f>G640</f>
        <v>0</v>
      </c>
      <c r="N640" s="467"/>
    </row>
    <row r="641" spans="2:14" ht="12.75">
      <c r="B641" s="466"/>
      <c r="C641" s="48" t="s">
        <v>87</v>
      </c>
      <c r="D641" s="49">
        <f>D642-D639-D640</f>
        <v>9000</v>
      </c>
      <c r="E641" s="49">
        <f>E642-E639-E640</f>
        <v>6027.000000000004</v>
      </c>
      <c r="F641" s="49">
        <f>F642-F639-F640</f>
        <v>10507.01999999999</v>
      </c>
      <c r="G641" s="121">
        <f>G642-G639-G640</f>
        <v>15149.651999999944</v>
      </c>
      <c r="H641" s="604"/>
      <c r="I641" s="604"/>
      <c r="J641" s="30">
        <f>J642-J639-J640</f>
        <v>9000</v>
      </c>
      <c r="K641" s="13">
        <f>K642-K639-K640</f>
        <v>7698</v>
      </c>
      <c r="L641" s="13">
        <f>L642-L639-L640</f>
        <v>12043.299999999988</v>
      </c>
      <c r="M641" s="14">
        <f>M642-M639-M640</f>
        <v>15149.651999999944</v>
      </c>
      <c r="N641" s="467"/>
    </row>
    <row r="642" spans="2:14" ht="13.5" thickBot="1">
      <c r="B642" s="466"/>
      <c r="C642" s="50" t="s">
        <v>83</v>
      </c>
      <c r="D642" s="51">
        <f>D635*(1+D629)</f>
        <v>309000</v>
      </c>
      <c r="E642" s="51">
        <f>E635*(1+E629)</f>
        <v>346698</v>
      </c>
      <c r="F642" s="51">
        <f>F635*(1+F629)</f>
        <v>378741.3</v>
      </c>
      <c r="G642" s="123">
        <f>G635*(1+G629)</f>
        <v>393890.95199999993</v>
      </c>
      <c r="H642" s="604"/>
      <c r="I642" s="604"/>
      <c r="J642" s="31">
        <f>D642</f>
        <v>309000</v>
      </c>
      <c r="K642" s="4">
        <f>E642</f>
        <v>346698</v>
      </c>
      <c r="L642" s="4">
        <f>F642</f>
        <v>378741.3</v>
      </c>
      <c r="M642" s="5">
        <f>G642</f>
        <v>393890.95199999993</v>
      </c>
      <c r="N642" s="467"/>
    </row>
    <row r="643" spans="2:14" ht="12.75">
      <c r="B643" s="46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67"/>
    </row>
    <row r="644" spans="2:14" ht="13.5" thickBot="1">
      <c r="B644" s="466"/>
      <c r="C644" s="20" t="s">
        <v>98</v>
      </c>
      <c r="D644" s="617">
        <f>Dados!B144</f>
        <v>0.1</v>
      </c>
      <c r="E644" s="20"/>
      <c r="F644" s="20"/>
      <c r="G644" s="20"/>
      <c r="H644" s="20"/>
      <c r="I644" s="20"/>
      <c r="J644" s="20"/>
      <c r="K644" s="20"/>
      <c r="L644" s="20"/>
      <c r="M644" s="20"/>
      <c r="N644" s="467"/>
    </row>
    <row r="645" spans="2:14" ht="13.5" thickBot="1">
      <c r="B645" s="466"/>
      <c r="C645" s="44" t="s">
        <v>84</v>
      </c>
      <c r="D645" s="45" t="s">
        <v>72</v>
      </c>
      <c r="E645" s="45" t="s">
        <v>73</v>
      </c>
      <c r="F645" s="45" t="s">
        <v>74</v>
      </c>
      <c r="G645" s="118" t="s">
        <v>75</v>
      </c>
      <c r="H645" s="20"/>
      <c r="I645" s="20"/>
      <c r="J645" s="20"/>
      <c r="K645" s="20"/>
      <c r="L645" s="20"/>
      <c r="M645" s="20"/>
      <c r="N645" s="467"/>
    </row>
    <row r="646" spans="2:14" ht="12.75">
      <c r="B646" s="466"/>
      <c r="C646" s="61" t="s">
        <v>85</v>
      </c>
      <c r="D646" s="512">
        <v>50000</v>
      </c>
      <c r="E646" s="148">
        <f>D648</f>
        <v>57500</v>
      </c>
      <c r="F646" s="148">
        <f>E648</f>
        <v>65000</v>
      </c>
      <c r="G646" s="156">
        <f>F648</f>
        <v>73250</v>
      </c>
      <c r="H646" s="20"/>
      <c r="I646" s="20"/>
      <c r="J646" s="20"/>
      <c r="K646" s="20"/>
      <c r="L646" s="20"/>
      <c r="M646" s="20"/>
      <c r="N646" s="467"/>
    </row>
    <row r="647" spans="2:14" ht="12.75">
      <c r="B647" s="466"/>
      <c r="C647" s="42" t="s">
        <v>96</v>
      </c>
      <c r="D647" s="89">
        <f>D633*D644/4</f>
        <v>7500</v>
      </c>
      <c r="E647" s="89">
        <f>E633*D644/4</f>
        <v>7500</v>
      </c>
      <c r="F647" s="89">
        <f>F633*D644/4</f>
        <v>8250</v>
      </c>
      <c r="G647" s="125">
        <f>G633*D644/4</f>
        <v>8750</v>
      </c>
      <c r="H647" s="20"/>
      <c r="I647" s="20"/>
      <c r="J647" s="20"/>
      <c r="K647" s="20"/>
      <c r="L647" s="20"/>
      <c r="M647" s="20"/>
      <c r="N647" s="467"/>
    </row>
    <row r="648" spans="2:14" ht="13.5" thickBot="1">
      <c r="B648" s="466"/>
      <c r="C648" s="50" t="s">
        <v>86</v>
      </c>
      <c r="D648" s="51">
        <f>D646+D647</f>
        <v>57500</v>
      </c>
      <c r="E648" s="51">
        <f>E646+E647</f>
        <v>65000</v>
      </c>
      <c r="F648" s="51">
        <f>F646+F647</f>
        <v>73250</v>
      </c>
      <c r="G648" s="123">
        <f>G646+G647</f>
        <v>82000</v>
      </c>
      <c r="H648" s="20"/>
      <c r="I648" s="20"/>
      <c r="J648" s="20"/>
      <c r="K648" s="20"/>
      <c r="L648" s="20"/>
      <c r="M648" s="20"/>
      <c r="N648" s="467"/>
    </row>
    <row r="649" spans="2:14" ht="13.5" thickBot="1">
      <c r="B649" s="46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67"/>
    </row>
    <row r="650" spans="2:14" ht="13.5" thickBot="1">
      <c r="B650" s="466"/>
      <c r="C650" s="44" t="s">
        <v>95</v>
      </c>
      <c r="D650" s="45" t="s">
        <v>72</v>
      </c>
      <c r="E650" s="45" t="s">
        <v>73</v>
      </c>
      <c r="F650" s="45" t="s">
        <v>74</v>
      </c>
      <c r="G650" s="118" t="s">
        <v>75</v>
      </c>
      <c r="H650" s="20"/>
      <c r="I650" s="20"/>
      <c r="J650" s="20"/>
      <c r="K650" s="20"/>
      <c r="L650" s="20"/>
      <c r="M650" s="20"/>
      <c r="N650" s="467"/>
    </row>
    <row r="651" spans="2:14" ht="12.75">
      <c r="B651" s="466"/>
      <c r="C651" s="52" t="s">
        <v>85</v>
      </c>
      <c r="D651" s="148">
        <f>D646</f>
        <v>50000</v>
      </c>
      <c r="E651" s="148">
        <f>D654</f>
        <v>59225</v>
      </c>
      <c r="F651" s="148">
        <f>E654</f>
        <v>68289</v>
      </c>
      <c r="G651" s="156">
        <f>F654</f>
        <v>79265.14349999999</v>
      </c>
      <c r="H651" s="20"/>
      <c r="I651" s="20"/>
      <c r="J651" s="20"/>
      <c r="K651" s="20"/>
      <c r="L651" s="20"/>
      <c r="M651" s="20"/>
      <c r="N651" s="467"/>
    </row>
    <row r="652" spans="2:14" ht="12.75">
      <c r="B652" s="466"/>
      <c r="C652" s="53" t="s">
        <v>94</v>
      </c>
      <c r="D652" s="89">
        <f>D647*(1+D630)</f>
        <v>7762.499999999999</v>
      </c>
      <c r="E652" s="89">
        <f>E647*(1+E630)</f>
        <v>7917.749999999999</v>
      </c>
      <c r="F652" s="89">
        <f>F647*(1+F630)</f>
        <v>8883.7155</v>
      </c>
      <c r="G652" s="125">
        <f>G647*(1+G630)</f>
        <v>9704.786175</v>
      </c>
      <c r="H652" s="20"/>
      <c r="I652" s="20"/>
      <c r="J652" s="20"/>
      <c r="K652" s="20"/>
      <c r="L652" s="20"/>
      <c r="M652" s="20"/>
      <c r="N652" s="467"/>
    </row>
    <row r="653" spans="2:14" ht="12.75">
      <c r="B653" s="466"/>
      <c r="C653" s="48" t="s">
        <v>88</v>
      </c>
      <c r="D653" s="49">
        <f>D654-D651-D652</f>
        <v>1462.500000000001</v>
      </c>
      <c r="E653" s="49">
        <f>E654-E651-E652</f>
        <v>1146.250000000001</v>
      </c>
      <c r="F653" s="49">
        <f>F654-F651-F652</f>
        <v>2092.427999999991</v>
      </c>
      <c r="G653" s="121">
        <f>G654-G651-G652</f>
        <v>3313.093364999995</v>
      </c>
      <c r="H653" s="20"/>
      <c r="I653" s="20"/>
      <c r="J653" s="20"/>
      <c r="K653" s="20"/>
      <c r="L653" s="20"/>
      <c r="M653" s="20"/>
      <c r="N653" s="467"/>
    </row>
    <row r="654" spans="2:14" ht="13.5" thickBot="1">
      <c r="B654" s="466"/>
      <c r="C654" s="296" t="s">
        <v>97</v>
      </c>
      <c r="D654" s="51">
        <f>D648*(1+D629)</f>
        <v>59225</v>
      </c>
      <c r="E654" s="51">
        <f>E648*(1+E629)</f>
        <v>68289</v>
      </c>
      <c r="F654" s="51">
        <f>F648*(1+F629)</f>
        <v>79265.14349999999</v>
      </c>
      <c r="G654" s="123">
        <f>G648*(1+G629)</f>
        <v>92283.02303999999</v>
      </c>
      <c r="H654" s="20"/>
      <c r="I654" s="20"/>
      <c r="J654" s="20"/>
      <c r="K654" s="20"/>
      <c r="L654" s="20"/>
      <c r="M654" s="20"/>
      <c r="N654" s="467"/>
    </row>
    <row r="655" spans="2:14" ht="12.75">
      <c r="B655" s="466"/>
      <c r="C655" s="20"/>
      <c r="D655" s="37"/>
      <c r="E655" s="37"/>
      <c r="F655" s="37"/>
      <c r="G655" s="37"/>
      <c r="H655" s="20"/>
      <c r="I655" s="20"/>
      <c r="J655" s="20"/>
      <c r="K655" s="20"/>
      <c r="L655" s="20"/>
      <c r="M655" s="20"/>
      <c r="N655" s="467"/>
    </row>
    <row r="656" spans="2:14" ht="13.5" thickBot="1">
      <c r="B656" s="466"/>
      <c r="C656" s="20" t="s">
        <v>99</v>
      </c>
      <c r="D656" s="20"/>
      <c r="E656" s="20"/>
      <c r="F656" s="20"/>
      <c r="G656" s="20"/>
      <c r="H656" s="20"/>
      <c r="I656" s="20"/>
      <c r="J656" s="20" t="s">
        <v>100</v>
      </c>
      <c r="K656" s="20"/>
      <c r="L656" s="20"/>
      <c r="M656" s="20"/>
      <c r="N656" s="467"/>
    </row>
    <row r="657" spans="2:14" ht="13.5" thickBot="1">
      <c r="B657" s="466"/>
      <c r="C657" s="39" t="s">
        <v>89</v>
      </c>
      <c r="D657" s="40" t="s">
        <v>72</v>
      </c>
      <c r="E657" s="40" t="s">
        <v>73</v>
      </c>
      <c r="F657" s="40" t="s">
        <v>74</v>
      </c>
      <c r="G657" s="84" t="s">
        <v>75</v>
      </c>
      <c r="H657" s="20"/>
      <c r="I657" s="19" t="s">
        <v>93</v>
      </c>
      <c r="J657" s="6" t="s">
        <v>72</v>
      </c>
      <c r="K657" s="7" t="s">
        <v>73</v>
      </c>
      <c r="L657" s="7" t="s">
        <v>74</v>
      </c>
      <c r="M657" s="8" t="s">
        <v>75</v>
      </c>
      <c r="N657" s="467"/>
    </row>
    <row r="658" spans="2:14" ht="12.75">
      <c r="B658" s="466"/>
      <c r="C658" s="60" t="s">
        <v>90</v>
      </c>
      <c r="D658" s="169">
        <f>D641</f>
        <v>9000</v>
      </c>
      <c r="E658" s="169">
        <f>E641</f>
        <v>6027.000000000004</v>
      </c>
      <c r="F658" s="169">
        <f>F641</f>
        <v>10507.01999999999</v>
      </c>
      <c r="G658" s="232">
        <f>G641</f>
        <v>15149.651999999944</v>
      </c>
      <c r="H658" s="20"/>
      <c r="I658" s="20"/>
      <c r="J658" s="36">
        <f>J641</f>
        <v>9000</v>
      </c>
      <c r="K658" s="32">
        <f>K641</f>
        <v>7698</v>
      </c>
      <c r="L658" s="32">
        <f>L641</f>
        <v>12043.299999999988</v>
      </c>
      <c r="M658" s="33">
        <f>M641</f>
        <v>15149.651999999944</v>
      </c>
      <c r="N658" s="467"/>
    </row>
    <row r="659" spans="2:14" ht="12.75">
      <c r="B659" s="466"/>
      <c r="C659" s="53" t="s">
        <v>91</v>
      </c>
      <c r="D659" s="152">
        <f>-D653</f>
        <v>-1462.500000000001</v>
      </c>
      <c r="E659" s="152">
        <f>-E653</f>
        <v>-1146.250000000001</v>
      </c>
      <c r="F659" s="152">
        <f>-F653</f>
        <v>-2092.427999999991</v>
      </c>
      <c r="G659" s="158">
        <f>-G653</f>
        <v>-3313.093364999995</v>
      </c>
      <c r="H659" s="20"/>
      <c r="I659" s="20"/>
      <c r="J659" s="34">
        <f>D659</f>
        <v>-1462.500000000001</v>
      </c>
      <c r="K659" s="11">
        <f>E659</f>
        <v>-1146.250000000001</v>
      </c>
      <c r="L659" s="11">
        <f>F659</f>
        <v>-2092.427999999991</v>
      </c>
      <c r="M659" s="12">
        <f>G659</f>
        <v>-3313.093364999995</v>
      </c>
      <c r="N659" s="467"/>
    </row>
    <row r="660" spans="2:14" ht="13.5" thickBot="1">
      <c r="B660" s="466"/>
      <c r="C660" s="50" t="s">
        <v>92</v>
      </c>
      <c r="D660" s="71">
        <f>D658+D659</f>
        <v>7537.499999999999</v>
      </c>
      <c r="E660" s="71">
        <f>E658+E659</f>
        <v>4880.750000000003</v>
      </c>
      <c r="F660" s="71">
        <f>F658+F659</f>
        <v>8414.591999999999</v>
      </c>
      <c r="G660" s="168">
        <f>G658+G659</f>
        <v>11836.558634999948</v>
      </c>
      <c r="H660" s="468"/>
      <c r="I660" s="468"/>
      <c r="J660" s="35">
        <f>J658+J659</f>
        <v>7537.499999999999</v>
      </c>
      <c r="K660" s="15">
        <f>K658+K659</f>
        <v>6551.749999999999</v>
      </c>
      <c r="L660" s="15">
        <f>L658+L659</f>
        <v>9950.871999999998</v>
      </c>
      <c r="M660" s="16">
        <f>M658+M659</f>
        <v>11836.558634999948</v>
      </c>
      <c r="N660" s="467"/>
    </row>
    <row r="661" spans="2:14" ht="13.5" thickBot="1">
      <c r="B661" s="466"/>
      <c r="C661" s="19"/>
      <c r="D661" s="632"/>
      <c r="E661" s="632"/>
      <c r="F661" s="632"/>
      <c r="G661" s="632"/>
      <c r="H661" s="468"/>
      <c r="I661" s="468"/>
      <c r="J661" s="631"/>
      <c r="K661" s="631"/>
      <c r="L661" s="631"/>
      <c r="M661" s="631"/>
      <c r="N661" s="467"/>
    </row>
    <row r="662" spans="2:14" ht="13.5" thickBot="1">
      <c r="B662" s="466"/>
      <c r="C662" s="39" t="s">
        <v>655</v>
      </c>
      <c r="D662" s="636" t="str">
        <f>D657</f>
        <v>1 Trim</v>
      </c>
      <c r="E662" s="636" t="str">
        <f>E657</f>
        <v>2 Trim</v>
      </c>
      <c r="F662" s="636" t="str">
        <f>F657</f>
        <v>3 Trim</v>
      </c>
      <c r="G662" s="637" t="str">
        <f>G657</f>
        <v>4 Trim</v>
      </c>
      <c r="H662" s="468"/>
      <c r="I662" s="468"/>
      <c r="J662" s="631"/>
      <c r="K662" s="631"/>
      <c r="L662" s="631"/>
      <c r="M662" s="631"/>
      <c r="N662" s="467"/>
    </row>
    <row r="663" spans="2:14" ht="12.75">
      <c r="B663" s="466"/>
      <c r="C663" s="633"/>
      <c r="D663" s="634"/>
      <c r="E663" s="634"/>
      <c r="F663" s="634"/>
      <c r="G663" s="635"/>
      <c r="H663" s="468"/>
      <c r="I663" s="468"/>
      <c r="J663" s="631"/>
      <c r="K663" s="631"/>
      <c r="L663" s="631"/>
      <c r="M663" s="631"/>
      <c r="N663" s="467"/>
    </row>
    <row r="664" spans="2:14" ht="12.75">
      <c r="B664" s="466"/>
      <c r="C664" s="48" t="s">
        <v>138</v>
      </c>
      <c r="D664" s="70"/>
      <c r="E664" s="70"/>
      <c r="F664" s="70"/>
      <c r="G664" s="166"/>
      <c r="H664" s="468"/>
      <c r="I664" s="468"/>
      <c r="J664" s="631"/>
      <c r="K664" s="631"/>
      <c r="L664" s="631"/>
      <c r="M664" s="631"/>
      <c r="N664" s="467"/>
    </row>
    <row r="665" spans="2:14" ht="12.75">
      <c r="B665" s="466"/>
      <c r="C665" s="53" t="s">
        <v>658</v>
      </c>
      <c r="D665" s="152">
        <f>Dados!B149*(1+Dados!B3)</f>
        <v>276791.9</v>
      </c>
      <c r="E665" s="152">
        <f>(D665+D671)*(1+Dados!C3)</f>
        <v>282327.738</v>
      </c>
      <c r="F665" s="152">
        <f>(E665+E671)*(1+Dados!D3)</f>
        <v>290797.57014</v>
      </c>
      <c r="G665" s="158">
        <f>(F665+F671)*(1+Dados!E3)</f>
        <v>302429.47294560005</v>
      </c>
      <c r="H665" s="468"/>
      <c r="I665" s="468"/>
      <c r="J665" s="631"/>
      <c r="K665" s="631"/>
      <c r="L665" s="631"/>
      <c r="M665" s="631"/>
      <c r="N665" s="467"/>
    </row>
    <row r="666" spans="2:14" ht="12.75">
      <c r="B666" s="466"/>
      <c r="C666" s="53" t="s">
        <v>657</v>
      </c>
      <c r="D666" s="152">
        <f>Dados!B149+D671</f>
        <v>268730</v>
      </c>
      <c r="E666" s="152">
        <f>D666+E671</f>
        <v>268730</v>
      </c>
      <c r="F666" s="152">
        <f>E666+F671</f>
        <v>268730</v>
      </c>
      <c r="G666" s="158">
        <f>F666+G671</f>
        <v>268730</v>
      </c>
      <c r="H666" s="468"/>
      <c r="I666" s="468"/>
      <c r="J666" s="631"/>
      <c r="K666" s="631"/>
      <c r="L666" s="631"/>
      <c r="M666" s="631"/>
      <c r="N666" s="467"/>
    </row>
    <row r="667" spans="2:14" ht="12.75">
      <c r="B667" s="466"/>
      <c r="C667" s="53" t="s">
        <v>662</v>
      </c>
      <c r="D667" s="70">
        <f>D665-D666</f>
        <v>8061.900000000023</v>
      </c>
      <c r="E667" s="70">
        <f>E665-E666</f>
        <v>13597.738000000012</v>
      </c>
      <c r="F667" s="70">
        <f>F665-F666</f>
        <v>22067.570140000025</v>
      </c>
      <c r="G667" s="166">
        <f>G665-G666</f>
        <v>33699.47294560005</v>
      </c>
      <c r="H667" s="468"/>
      <c r="I667" s="468"/>
      <c r="J667" s="631"/>
      <c r="K667" s="631"/>
      <c r="L667" s="631"/>
      <c r="M667" s="631"/>
      <c r="N667" s="467"/>
    </row>
    <row r="668" spans="2:14" ht="12.75">
      <c r="B668" s="466"/>
      <c r="C668" s="48"/>
      <c r="D668" s="70"/>
      <c r="E668" s="70"/>
      <c r="F668" s="70"/>
      <c r="G668" s="166"/>
      <c r="H668" s="468"/>
      <c r="I668" s="468"/>
      <c r="J668" s="631"/>
      <c r="K668" s="631"/>
      <c r="L668" s="631"/>
      <c r="M668" s="631"/>
      <c r="N668" s="467"/>
    </row>
    <row r="669" spans="2:14" ht="12.75">
      <c r="B669" s="466"/>
      <c r="C669" s="48" t="s">
        <v>659</v>
      </c>
      <c r="D669" s="70"/>
      <c r="E669" s="70"/>
      <c r="F669" s="70"/>
      <c r="G669" s="166"/>
      <c r="H669" s="468"/>
      <c r="I669" s="468"/>
      <c r="J669" s="631"/>
      <c r="K669" s="631"/>
      <c r="L669" s="631"/>
      <c r="M669" s="631"/>
      <c r="N669" s="467"/>
    </row>
    <row r="670" spans="2:14" ht="12.75">
      <c r="B670" s="466"/>
      <c r="C670" s="53" t="s">
        <v>672</v>
      </c>
      <c r="D670" s="152">
        <f>Dados!B148</f>
        <v>2000</v>
      </c>
      <c r="E670" s="152">
        <f>D673</f>
        <v>8061.900000000023</v>
      </c>
      <c r="F670" s="152">
        <f>E673</f>
        <v>13597.738000000012</v>
      </c>
      <c r="G670" s="158">
        <f>F673</f>
        <v>22067.570140000025</v>
      </c>
      <c r="H670" s="468"/>
      <c r="I670" s="468"/>
      <c r="J670" s="631"/>
      <c r="K670" s="631"/>
      <c r="L670" s="631"/>
      <c r="M670" s="631"/>
      <c r="N670" s="467"/>
    </row>
    <row r="671" spans="2:14" ht="12.75">
      <c r="B671" s="466"/>
      <c r="C671" s="53" t="s">
        <v>660</v>
      </c>
      <c r="D671" s="152">
        <f>Dados!B147</f>
        <v>0</v>
      </c>
      <c r="E671" s="152">
        <f>Dados!C147</f>
        <v>0</v>
      </c>
      <c r="F671" s="152">
        <f>Dados!D147</f>
        <v>0</v>
      </c>
      <c r="G671" s="158">
        <f>Dados!E147</f>
        <v>0</v>
      </c>
      <c r="H671" s="468"/>
      <c r="I671" s="468"/>
      <c r="J671" s="631"/>
      <c r="K671" s="631"/>
      <c r="L671" s="631"/>
      <c r="M671" s="631"/>
      <c r="N671" s="467"/>
    </row>
    <row r="672" spans="2:14" ht="12.75">
      <c r="B672" s="466"/>
      <c r="C672" s="53" t="s">
        <v>661</v>
      </c>
      <c r="D672" s="152">
        <f>D670-D671</f>
        <v>2000</v>
      </c>
      <c r="E672" s="152">
        <f>E670-E671</f>
        <v>8061.900000000023</v>
      </c>
      <c r="F672" s="152">
        <f>F670-F671</f>
        <v>13597.738000000012</v>
      </c>
      <c r="G672" s="158">
        <f>G670-G671</f>
        <v>22067.570140000025</v>
      </c>
      <c r="H672" s="468"/>
      <c r="I672" s="468"/>
      <c r="J672" s="631"/>
      <c r="K672" s="631"/>
      <c r="L672" s="631"/>
      <c r="M672" s="631"/>
      <c r="N672" s="467"/>
    </row>
    <row r="673" spans="2:14" ht="12.75">
      <c r="B673" s="466"/>
      <c r="C673" s="53" t="s">
        <v>671</v>
      </c>
      <c r="D673" s="152">
        <f>D667</f>
        <v>8061.900000000023</v>
      </c>
      <c r="E673" s="152">
        <f>E667</f>
        <v>13597.738000000012</v>
      </c>
      <c r="F673" s="152">
        <f>F667</f>
        <v>22067.570140000025</v>
      </c>
      <c r="G673" s="158">
        <f>G667</f>
        <v>33699.47294560005</v>
      </c>
      <c r="H673" s="468"/>
      <c r="I673" s="468"/>
      <c r="J673" s="631"/>
      <c r="K673" s="631"/>
      <c r="L673" s="631"/>
      <c r="M673" s="631"/>
      <c r="N673" s="467"/>
    </row>
    <row r="674" spans="2:14" ht="12.75">
      <c r="B674" s="466"/>
      <c r="C674" s="48" t="s">
        <v>663</v>
      </c>
      <c r="D674" s="70">
        <f>D673-D672</f>
        <v>6061.900000000023</v>
      </c>
      <c r="E674" s="70">
        <f>E673-E672</f>
        <v>5535.837999999989</v>
      </c>
      <c r="F674" s="70">
        <f>F673-F672</f>
        <v>8469.832140000013</v>
      </c>
      <c r="G674" s="166">
        <f>G673-G672</f>
        <v>11631.902805600024</v>
      </c>
      <c r="H674" s="468"/>
      <c r="I674" s="468"/>
      <c r="J674" s="631"/>
      <c r="K674" s="631"/>
      <c r="L674" s="631"/>
      <c r="M674" s="631"/>
      <c r="N674" s="467"/>
    </row>
    <row r="675" spans="2:14" ht="12.75">
      <c r="B675" s="466"/>
      <c r="C675" s="48"/>
      <c r="D675" s="70"/>
      <c r="E675" s="70"/>
      <c r="F675" s="70"/>
      <c r="G675" s="166"/>
      <c r="H675" s="468"/>
      <c r="I675" s="468"/>
      <c r="J675" s="631"/>
      <c r="K675" s="631"/>
      <c r="L675" s="631"/>
      <c r="M675" s="631"/>
      <c r="N675" s="467"/>
    </row>
    <row r="676" spans="2:14" ht="12.75">
      <c r="B676" s="466"/>
      <c r="C676" s="48" t="s">
        <v>666</v>
      </c>
      <c r="D676" s="70"/>
      <c r="E676" s="70"/>
      <c r="F676" s="70"/>
      <c r="G676" s="166"/>
      <c r="H676" s="468"/>
      <c r="I676" s="468"/>
      <c r="J676" s="631"/>
      <c r="K676" s="631"/>
      <c r="L676" s="631"/>
      <c r="M676" s="631"/>
      <c r="N676" s="467"/>
    </row>
    <row r="677" spans="2:14" ht="12.75">
      <c r="B677" s="466"/>
      <c r="C677" s="53" t="s">
        <v>656</v>
      </c>
      <c r="D677" s="70">
        <f>N77*(1+Dados!B3)</f>
        <v>0</v>
      </c>
      <c r="E677" s="70">
        <f>O77*(1+Dados!C3)</f>
        <v>25605.517107224263</v>
      </c>
      <c r="F677" s="70">
        <f>P77*(1+Dados!D3)</f>
        <v>59868.592457972925</v>
      </c>
      <c r="G677" s="166">
        <f>Q77*(1+Dados!E3)</f>
        <v>168470.99161543217</v>
      </c>
      <c r="H677" s="468"/>
      <c r="I677" s="468"/>
      <c r="J677" s="631"/>
      <c r="K677" s="631"/>
      <c r="L677" s="631"/>
      <c r="M677" s="631"/>
      <c r="N677" s="467"/>
    </row>
    <row r="678" spans="2:14" ht="12.75">
      <c r="B678" s="466"/>
      <c r="C678" s="53" t="s">
        <v>664</v>
      </c>
      <c r="D678" s="70">
        <f>N77</f>
        <v>0</v>
      </c>
      <c r="E678" s="70">
        <f>O77</f>
        <v>25103.44814433751</v>
      </c>
      <c r="F678" s="70">
        <f>P77</f>
        <v>58124.847046575655</v>
      </c>
      <c r="G678" s="166">
        <f>Q77</f>
        <v>161991.3380917617</v>
      </c>
      <c r="H678" s="468"/>
      <c r="I678" s="468"/>
      <c r="J678" s="631"/>
      <c r="K678" s="631"/>
      <c r="L678" s="631"/>
      <c r="M678" s="631"/>
      <c r="N678" s="467"/>
    </row>
    <row r="679" spans="2:14" ht="12.75">
      <c r="B679" s="466"/>
      <c r="C679" s="48" t="s">
        <v>665</v>
      </c>
      <c r="D679" s="70">
        <f>D677-D678</f>
        <v>0</v>
      </c>
      <c r="E679" s="70">
        <f>E677-E678</f>
        <v>502.06896288675125</v>
      </c>
      <c r="F679" s="70">
        <f>F677-F678</f>
        <v>1743.7454113972708</v>
      </c>
      <c r="G679" s="166">
        <f>G677-G678</f>
        <v>6479.65352367048</v>
      </c>
      <c r="H679" s="468"/>
      <c r="I679" s="468"/>
      <c r="J679" s="631"/>
      <c r="K679" s="631"/>
      <c r="L679" s="631"/>
      <c r="M679" s="631"/>
      <c r="N679" s="467"/>
    </row>
    <row r="680" spans="2:14" ht="12.75">
      <c r="B680" s="466"/>
      <c r="C680" s="43"/>
      <c r="D680" s="640"/>
      <c r="E680" s="640"/>
      <c r="F680" s="640"/>
      <c r="G680" s="641"/>
      <c r="H680" s="468"/>
      <c r="I680" s="468"/>
      <c r="J680" s="631"/>
      <c r="K680" s="631"/>
      <c r="L680" s="631"/>
      <c r="M680" s="631"/>
      <c r="N680" s="467"/>
    </row>
    <row r="681" spans="2:14" ht="12.75">
      <c r="B681" s="466"/>
      <c r="C681" s="43" t="s">
        <v>674</v>
      </c>
      <c r="D681" s="640">
        <f>D674+D679</f>
        <v>6061.900000000023</v>
      </c>
      <c r="E681" s="640">
        <f>E674+E679</f>
        <v>6037.90696288674</v>
      </c>
      <c r="F681" s="640">
        <f>F674+F679</f>
        <v>10213.577551397284</v>
      </c>
      <c r="G681" s="641">
        <f>G679+G674</f>
        <v>18111.556329270505</v>
      </c>
      <c r="H681" s="468"/>
      <c r="I681" s="468"/>
      <c r="J681" s="631"/>
      <c r="K681" s="631"/>
      <c r="L681" s="631"/>
      <c r="M681" s="631"/>
      <c r="N681" s="467"/>
    </row>
    <row r="682" spans="2:14" ht="13.5" thickBot="1">
      <c r="B682" s="466"/>
      <c r="C682" s="50"/>
      <c r="D682" s="71"/>
      <c r="E682" s="71"/>
      <c r="F682" s="71"/>
      <c r="G682" s="168"/>
      <c r="H682" s="468"/>
      <c r="I682" s="468"/>
      <c r="J682" s="631"/>
      <c r="K682" s="631"/>
      <c r="L682" s="631"/>
      <c r="M682" s="631"/>
      <c r="N682" s="467"/>
    </row>
    <row r="683" spans="2:14" ht="13.5" thickBot="1">
      <c r="B683" s="470"/>
      <c r="C683" s="471"/>
      <c r="D683" s="471"/>
      <c r="E683" s="471"/>
      <c r="F683" s="471"/>
      <c r="G683" s="471"/>
      <c r="H683" s="471"/>
      <c r="I683" s="471"/>
      <c r="J683" s="471"/>
      <c r="K683" s="471"/>
      <c r="L683" s="471"/>
      <c r="M683" s="471"/>
      <c r="N683" s="472"/>
    </row>
    <row r="684" spans="4:5" ht="12.75">
      <c r="D684" s="18"/>
      <c r="E684" s="18"/>
    </row>
  </sheetData>
  <mergeCells count="10">
    <mergeCell ref="L173:M173"/>
    <mergeCell ref="L172:M172"/>
    <mergeCell ref="L183:M183"/>
    <mergeCell ref="L189:M189"/>
    <mergeCell ref="L191:M191"/>
    <mergeCell ref="L190:M190"/>
    <mergeCell ref="L174:M174"/>
    <mergeCell ref="L175:M175"/>
    <mergeCell ref="L176:M176"/>
    <mergeCell ref="L178:M178"/>
  </mergeCells>
  <printOptions/>
  <pageMargins left="0.75" right="0.75" top="1" bottom="1" header="0.492125985" footer="0.492125985"/>
  <pageSetup horizontalDpi="600" verticalDpi="600" orientation="portrait" paperSize="9" r:id="rId1"/>
  <ignoredErrors>
    <ignoredError sqref="P167:P168 P147:P155 P157:P1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tabSelected="1" workbookViewId="0" topLeftCell="A1">
      <selection activeCell="F7" sqref="F7"/>
    </sheetView>
  </sheetViews>
  <sheetFormatPr defaultColWidth="9.140625" defaultRowHeight="12.75"/>
  <cols>
    <col min="1" max="1" width="47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5.8515625" style="0" customWidth="1"/>
    <col min="16" max="16" width="13.8515625" style="0" customWidth="1"/>
    <col min="17" max="17" width="10.140625" style="0" customWidth="1"/>
    <col min="18" max="18" width="10.8515625" style="0" customWidth="1"/>
    <col min="19" max="20" width="10.7109375" style="0" customWidth="1"/>
    <col min="21" max="22" width="9.28125" style="0" customWidth="1"/>
  </cols>
  <sheetData>
    <row r="1" spans="1:5" ht="12.75">
      <c r="A1" s="46" t="s">
        <v>254</v>
      </c>
      <c r="B1" s="76"/>
      <c r="D1" s="61" t="s">
        <v>675</v>
      </c>
      <c r="E1" s="665">
        <f>B6*B3</f>
        <v>2781.4864263462396</v>
      </c>
    </row>
    <row r="2" spans="1:6" ht="12.75">
      <c r="A2" s="42" t="s">
        <v>258</v>
      </c>
      <c r="B2" s="668">
        <v>0.6</v>
      </c>
      <c r="D2" s="42" t="s">
        <v>676</v>
      </c>
      <c r="E2" s="666">
        <f>(B5*B6+B4)*B3</f>
        <v>2778.148642634624</v>
      </c>
      <c r="F2" s="671" t="s">
        <v>681</v>
      </c>
    </row>
    <row r="3" spans="1:6" ht="12.75">
      <c r="A3" s="42" t="s">
        <v>256</v>
      </c>
      <c r="B3" s="668">
        <v>500</v>
      </c>
      <c r="D3" s="42" t="s">
        <v>678</v>
      </c>
      <c r="E3" s="666">
        <f>E1-E2</f>
        <v>3.3377837116154296</v>
      </c>
      <c r="F3" s="670">
        <f>E3/B4</f>
        <v>0.6675567423230859</v>
      </c>
    </row>
    <row r="4" spans="1:5" ht="12.75">
      <c r="A4" s="42" t="s">
        <v>257</v>
      </c>
      <c r="B4" s="669">
        <v>5</v>
      </c>
      <c r="D4" s="42" t="s">
        <v>679</v>
      </c>
      <c r="E4" s="666">
        <f>E3/B3</f>
        <v>0.0066755674232308595</v>
      </c>
    </row>
    <row r="5" spans="1:5" ht="12.75">
      <c r="A5" s="42" t="s">
        <v>259</v>
      </c>
      <c r="B5" s="668">
        <v>0.1</v>
      </c>
      <c r="D5" s="42" t="s">
        <v>680</v>
      </c>
      <c r="E5" s="666">
        <f>E4/B6</f>
        <v>0.001199999999999979</v>
      </c>
    </row>
    <row r="6" spans="1:6" ht="13.5" thickBot="1">
      <c r="A6" s="50" t="s">
        <v>255</v>
      </c>
      <c r="B6" s="363">
        <f>(B4*(B3/(B3-B2)))/(1-B5*(B3/(B3-B2)))</f>
        <v>5.5629728526924795</v>
      </c>
      <c r="D6" s="64" t="s">
        <v>677</v>
      </c>
      <c r="E6" s="667">
        <f>E5*B3</f>
        <v>0.5999999999999895</v>
      </c>
      <c r="F6" s="664"/>
    </row>
    <row r="7" ht="13.5" thickBot="1">
      <c r="A7" s="17"/>
    </row>
    <row r="8" spans="1:24" ht="13.5" thickBot="1">
      <c r="A8" s="61" t="s">
        <v>142</v>
      </c>
      <c r="B8" s="88">
        <v>10</v>
      </c>
      <c r="C8" s="75"/>
      <c r="D8" s="75" t="s">
        <v>143</v>
      </c>
      <c r="E8" s="76"/>
      <c r="F8" s="101"/>
      <c r="H8" s="226" t="s">
        <v>36</v>
      </c>
      <c r="I8" s="61"/>
      <c r="J8" s="81" t="str">
        <f>$B$13</f>
        <v>Trim 1</v>
      </c>
      <c r="K8" s="81" t="str">
        <f>$C$13</f>
        <v>Trim 2</v>
      </c>
      <c r="L8" s="81" t="str">
        <f>$D$13</f>
        <v>Trim 3</v>
      </c>
      <c r="M8" s="82" t="str">
        <f>$E$13</f>
        <v>Trim 4</v>
      </c>
      <c r="O8" s="39" t="s">
        <v>243</v>
      </c>
      <c r="P8" s="225"/>
      <c r="Q8" s="252" t="str">
        <f>J8</f>
        <v>Trim 1</v>
      </c>
      <c r="R8" s="223" t="str">
        <f>K8</f>
        <v>Trim 2</v>
      </c>
      <c r="S8" s="223" t="str">
        <f>L8</f>
        <v>Trim 3</v>
      </c>
      <c r="T8" s="224" t="str">
        <f>M8</f>
        <v>Trim 4</v>
      </c>
      <c r="U8" s="222" t="str">
        <f>Q8</f>
        <v>Trim 1</v>
      </c>
      <c r="V8" s="223" t="str">
        <f>R8</f>
        <v>Trim 2</v>
      </c>
      <c r="W8" s="223" t="str">
        <f>S8</f>
        <v>Trim 3</v>
      </c>
      <c r="X8" s="225" t="str">
        <f>T8</f>
        <v>Trim 4</v>
      </c>
    </row>
    <row r="9" spans="1:21" ht="13.5" thickBot="1">
      <c r="A9" s="42" t="s">
        <v>5</v>
      </c>
      <c r="B9" s="89">
        <f>($B$8/($D$9+$D$10))*D9</f>
        <v>0.8333333333333334</v>
      </c>
      <c r="C9" s="67"/>
      <c r="D9" s="86">
        <v>1</v>
      </c>
      <c r="E9" s="87"/>
      <c r="F9" s="102"/>
      <c r="H9" s="227" t="s">
        <v>37</v>
      </c>
      <c r="I9" s="41"/>
      <c r="J9" s="66"/>
      <c r="K9" s="66"/>
      <c r="L9" s="66"/>
      <c r="M9" s="83"/>
      <c r="U9" s="17" t="s">
        <v>172</v>
      </c>
    </row>
    <row r="10" spans="1:24" ht="12.75">
      <c r="A10" s="42" t="s">
        <v>6</v>
      </c>
      <c r="B10" s="89">
        <f>($B$8/($D$9+$D$10))*D10</f>
        <v>9.166666666666668</v>
      </c>
      <c r="C10" s="67"/>
      <c r="D10" s="55">
        <v>11</v>
      </c>
      <c r="E10" s="78"/>
      <c r="F10" s="103"/>
      <c r="H10" s="228"/>
      <c r="I10" s="42" t="s">
        <v>1</v>
      </c>
      <c r="J10" s="172">
        <f>B17</f>
        <v>458.3333333333333</v>
      </c>
      <c r="K10" s="172">
        <f>C17</f>
        <v>515</v>
      </c>
      <c r="L10" s="172">
        <f>D17</f>
        <v>569.075</v>
      </c>
      <c r="M10" s="173">
        <f>E17</f>
        <v>631.2355</v>
      </c>
      <c r="O10" s="257" t="s">
        <v>156</v>
      </c>
      <c r="P10" s="46" t="s">
        <v>157</v>
      </c>
      <c r="Q10" s="191">
        <f>(((J46+J67)/2)/-J33)*O17</f>
        <v>18.812254610624</v>
      </c>
      <c r="R10" s="191">
        <f>(((K46+J46)/2)/-K33)*O17</f>
        <v>18.660201690893906</v>
      </c>
      <c r="S10" s="191">
        <f>(((L46+K46)/2)/-L33)*O17</f>
        <v>18.52986049472614</v>
      </c>
      <c r="T10" s="192">
        <f>(((M46+L46)/2)/-M33)*O17</f>
        <v>16.598327972440053</v>
      </c>
      <c r="U10" s="213">
        <f>-J33/J31*Q10</f>
        <v>11.123658073270017</v>
      </c>
      <c r="V10" s="191">
        <f>-K33/K31*R10</f>
        <v>10.820338971620155</v>
      </c>
      <c r="W10" s="191">
        <f>-L33/L31*S10</f>
        <v>10.727709347839358</v>
      </c>
      <c r="X10" s="192">
        <f>-M33/M31*T10</f>
        <v>9.590140498219375</v>
      </c>
    </row>
    <row r="11" spans="1:24" ht="13.5" thickBot="1">
      <c r="A11" s="64" t="s">
        <v>3</v>
      </c>
      <c r="B11" s="90">
        <f>'Orçamento de Investimento'!B2</f>
        <v>0.03</v>
      </c>
      <c r="C11" s="90">
        <f>'Orçamento de Investimento'!C2</f>
        <v>0.02</v>
      </c>
      <c r="D11" s="90">
        <f>'Orçamento de Investimento'!D2</f>
        <v>0.03</v>
      </c>
      <c r="E11" s="285">
        <f>'Orçamento de Investimento'!E2</f>
        <v>0.04</v>
      </c>
      <c r="F11" s="104"/>
      <c r="H11" s="228"/>
      <c r="I11" s="42" t="s">
        <v>139</v>
      </c>
      <c r="J11" s="172">
        <f>B33</f>
        <v>399.5833333333333</v>
      </c>
      <c r="K11" s="172">
        <f>C33</f>
        <v>-56.65</v>
      </c>
      <c r="L11" s="172">
        <f>D33</f>
        <v>-62.59825000000001</v>
      </c>
      <c r="M11" s="173">
        <f>E33</f>
        <v>-69.435905</v>
      </c>
      <c r="O11" s="258">
        <f>L66</f>
        <v>0.2975549385788141</v>
      </c>
      <c r="P11" s="48" t="s">
        <v>159</v>
      </c>
      <c r="Q11" s="68">
        <f>(((J45+J66)/2)/B25)*O17</f>
        <v>49.01652892561983</v>
      </c>
      <c r="R11" s="68">
        <f>(((K45+J45)/2)/C25)*O17</f>
        <v>125.09708737864078</v>
      </c>
      <c r="S11" s="68">
        <f>(((L45+K45)/2)/D25)*O17</f>
        <v>198.9340157272767</v>
      </c>
      <c r="T11" s="165">
        <f>(((M45+L45)/2)/E25)*O17</f>
        <v>264.91277423402204</v>
      </c>
      <c r="U11" s="214">
        <f>B25/J31*Q11</f>
        <v>44.93181818181818</v>
      </c>
      <c r="V11" s="68">
        <f>C25/K31*R11</f>
        <v>114.67233009708738</v>
      </c>
      <c r="W11" s="68">
        <f>D25/L31*S11</f>
        <v>182.356181083337</v>
      </c>
      <c r="X11" s="165">
        <f>E25/M31*T11</f>
        <v>242.83670971452023</v>
      </c>
    </row>
    <row r="12" spans="2:24" ht="13.5" thickBot="1">
      <c r="B12" s="1"/>
      <c r="H12" s="229" t="s">
        <v>20</v>
      </c>
      <c r="I12" s="48"/>
      <c r="J12" s="49">
        <f>J10+J11</f>
        <v>857.9166666666666</v>
      </c>
      <c r="K12" s="49">
        <f>K10+K11</f>
        <v>458.35</v>
      </c>
      <c r="L12" s="49">
        <f>L10+L11</f>
        <v>506.47675000000004</v>
      </c>
      <c r="M12" s="121">
        <f>M10+M11</f>
        <v>561.799595</v>
      </c>
      <c r="O12" s="229" t="s">
        <v>167</v>
      </c>
      <c r="P12" s="48" t="s">
        <v>158</v>
      </c>
      <c r="Q12" s="68">
        <f>(((J71+(J53))/2)/B48)*O17</f>
        <v>43.50563909774436</v>
      </c>
      <c r="R12" s="68">
        <f>(((J53+K53)/2)/C48)*O17</f>
        <v>116.09481935381186</v>
      </c>
      <c r="S12" s="68">
        <f>(((K53+L53)/2)/D48)*O17</f>
        <v>183.82329145250336</v>
      </c>
      <c r="T12" s="165">
        <f>(((L53+M53)/2)/E48)*O17</f>
        <v>252.71879873395244</v>
      </c>
      <c r="U12" s="214">
        <f>B48/J31*Q12</f>
        <v>31.561363636363637</v>
      </c>
      <c r="V12" s="68">
        <f>C48/K31*R12</f>
        <v>82.62081310679612</v>
      </c>
      <c r="W12" s="68">
        <f>D48/L31*S12</f>
        <v>130.65593946316392</v>
      </c>
      <c r="X12" s="165">
        <f>E48/M31*T12</f>
        <v>172.35422073655556</v>
      </c>
    </row>
    <row r="13" spans="1:24" ht="13.5" thickBot="1">
      <c r="A13" s="39" t="s">
        <v>0</v>
      </c>
      <c r="B13" s="85" t="s">
        <v>144</v>
      </c>
      <c r="C13" s="85" t="s">
        <v>145</v>
      </c>
      <c r="D13" s="85" t="s">
        <v>146</v>
      </c>
      <c r="E13" s="126" t="s">
        <v>147</v>
      </c>
      <c r="F13" s="106"/>
      <c r="H13" s="228" t="s">
        <v>39</v>
      </c>
      <c r="I13" s="42"/>
      <c r="J13" s="68"/>
      <c r="K13" s="68"/>
      <c r="L13" s="68"/>
      <c r="M13" s="165"/>
      <c r="O13" s="241">
        <v>0.035</v>
      </c>
      <c r="P13" s="211" t="s">
        <v>160</v>
      </c>
      <c r="Q13" s="177">
        <f aca="true" t="shared" si="0" ref="Q13:X13">Q10+Q11-Q12</f>
        <v>24.323144438499476</v>
      </c>
      <c r="R13" s="177">
        <f t="shared" si="0"/>
        <v>27.662469715722835</v>
      </c>
      <c r="S13" s="177">
        <f t="shared" si="0"/>
        <v>33.64058476949947</v>
      </c>
      <c r="T13" s="178">
        <f t="shared" si="0"/>
        <v>28.792303472509673</v>
      </c>
      <c r="U13" s="179">
        <f t="shared" si="0"/>
        <v>24.494112618724557</v>
      </c>
      <c r="V13" s="177">
        <f t="shared" si="0"/>
        <v>42.87185596191142</v>
      </c>
      <c r="W13" s="177">
        <f t="shared" si="0"/>
        <v>62.427950968012425</v>
      </c>
      <c r="X13" s="178">
        <f t="shared" si="0"/>
        <v>80.07262947618403</v>
      </c>
    </row>
    <row r="14" spans="1:24" ht="12.75">
      <c r="A14" s="41" t="s">
        <v>141</v>
      </c>
      <c r="B14" s="93">
        <v>550</v>
      </c>
      <c r="C14" s="93">
        <v>600</v>
      </c>
      <c r="D14" s="93">
        <v>650</v>
      </c>
      <c r="E14" s="127">
        <v>700</v>
      </c>
      <c r="F14" s="107"/>
      <c r="H14" s="228"/>
      <c r="I14" s="42" t="s">
        <v>49</v>
      </c>
      <c r="J14" s="174">
        <f>B86</f>
        <v>700</v>
      </c>
      <c r="K14" s="174">
        <f>C86</f>
        <v>630</v>
      </c>
      <c r="L14" s="174">
        <f>D86</f>
        <v>665</v>
      </c>
      <c r="M14" s="175">
        <f>E86</f>
        <v>840</v>
      </c>
      <c r="O14" s="229" t="s">
        <v>168</v>
      </c>
      <c r="P14" s="211" t="s">
        <v>161</v>
      </c>
      <c r="Q14" s="177">
        <f>O17/Q13</f>
        <v>3.7001794824498524</v>
      </c>
      <c r="R14" s="177">
        <f>O17/R13</f>
        <v>3.253505595302854</v>
      </c>
      <c r="S14" s="177">
        <f>O17/S13</f>
        <v>2.675339938846702</v>
      </c>
      <c r="T14" s="178">
        <f>O17/T13</f>
        <v>3.12583534992017</v>
      </c>
      <c r="U14" s="179">
        <f>$O$17/U13</f>
        <v>3.6743523393127284</v>
      </c>
      <c r="V14" s="177">
        <f>$O$17/V13</f>
        <v>2.099279305285</v>
      </c>
      <c r="W14" s="177">
        <f>$O$17/W13</f>
        <v>1.4416619255390148</v>
      </c>
      <c r="X14" s="178">
        <f>$O$17/X13</f>
        <v>1.1239795744033692</v>
      </c>
    </row>
    <row r="15" spans="1:27" ht="13.5" thickBot="1">
      <c r="A15" s="42" t="s">
        <v>4</v>
      </c>
      <c r="B15" s="89">
        <f>B8</f>
        <v>10</v>
      </c>
      <c r="C15" s="89">
        <f>B15+B15*B11</f>
        <v>10.3</v>
      </c>
      <c r="D15" s="89">
        <f>C15+C15*C11</f>
        <v>10.506</v>
      </c>
      <c r="E15" s="125">
        <f>D15+D15*D11</f>
        <v>10.82118</v>
      </c>
      <c r="F15" s="108"/>
      <c r="H15" s="228"/>
      <c r="I15" s="42" t="s">
        <v>170</v>
      </c>
      <c r="J15" s="174">
        <f>B94</f>
        <v>0</v>
      </c>
      <c r="K15" s="174">
        <f>C94</f>
        <v>300</v>
      </c>
      <c r="L15" s="174">
        <f>D94</f>
        <v>270</v>
      </c>
      <c r="M15" s="175">
        <f>E94</f>
        <v>285</v>
      </c>
      <c r="N15" s="38"/>
      <c r="O15" s="242">
        <v>18</v>
      </c>
      <c r="P15" s="250" t="s">
        <v>162</v>
      </c>
      <c r="Q15" s="172">
        <f>J20/Q14</f>
        <v>379.341958948435</v>
      </c>
      <c r="R15" s="172">
        <f>K20/R14</f>
        <v>10221.630884157004</v>
      </c>
      <c r="S15" s="172">
        <f>L20/S14</f>
        <v>8672.507877250308</v>
      </c>
      <c r="T15" s="173">
        <f>M20/T14</f>
        <v>620.4709769571107</v>
      </c>
      <c r="U15" s="215">
        <f>J31/U14</f>
        <v>1496.862437810945</v>
      </c>
      <c r="V15" s="216">
        <f>K31/V14</f>
        <v>2943.8674427179176</v>
      </c>
      <c r="W15" s="216">
        <f>L31/W14</f>
        <v>4736.82482628289</v>
      </c>
      <c r="X15" s="217">
        <f>M31/X14</f>
        <v>6739.291507161835</v>
      </c>
      <c r="Y15" s="38"/>
      <c r="Z15" s="38"/>
      <c r="AA15" s="38"/>
    </row>
    <row r="16" spans="1:24" ht="12.75">
      <c r="A16" s="43" t="s">
        <v>2</v>
      </c>
      <c r="B16" s="94">
        <f>B14*B15</f>
        <v>5500</v>
      </c>
      <c r="C16" s="94">
        <f>C14*C15</f>
        <v>6180</v>
      </c>
      <c r="D16" s="94">
        <f>D14*D15</f>
        <v>6828.900000000001</v>
      </c>
      <c r="E16" s="128">
        <f>E14*E15</f>
        <v>7574.826</v>
      </c>
      <c r="F16" s="109"/>
      <c r="H16" s="228"/>
      <c r="I16" s="42" t="s">
        <v>50</v>
      </c>
      <c r="J16" s="174">
        <f>B49</f>
        <v>332.5</v>
      </c>
      <c r="K16" s="174">
        <f>C49</f>
        <v>366.5083333333334</v>
      </c>
      <c r="L16" s="174">
        <f>D49</f>
        <v>404.481</v>
      </c>
      <c r="M16" s="175">
        <f>E49</f>
        <v>430.50261099999994</v>
      </c>
      <c r="O16" s="243" t="s">
        <v>171</v>
      </c>
      <c r="P16" s="48" t="s">
        <v>163</v>
      </c>
      <c r="Q16" s="198">
        <f>J43+J45+J46-J53-J54-J55</f>
        <v>1708.158208955223</v>
      </c>
      <c r="R16" s="198">
        <f>K43+K45+K46-K53-K54-K55</f>
        <v>3424.1452845392178</v>
      </c>
      <c r="S16" s="198">
        <f>L43+L45+L46-L53-L54-L55</f>
        <v>5285.1488514474895</v>
      </c>
      <c r="T16" s="204">
        <f>M43+M45+M46-M53-M54-M55</f>
        <v>7303.944989079522</v>
      </c>
      <c r="U16" s="210" t="s">
        <v>239</v>
      </c>
      <c r="V16" s="209" t="s">
        <v>240</v>
      </c>
      <c r="W16" s="209" t="s">
        <v>241</v>
      </c>
      <c r="X16" s="253" t="s">
        <v>242</v>
      </c>
    </row>
    <row r="17" spans="1:24" ht="13.5" thickBot="1">
      <c r="A17" s="42" t="s">
        <v>113</v>
      </c>
      <c r="B17" s="136">
        <f>(B16/($D$9+$D$10))*$D$9</f>
        <v>458.3333333333333</v>
      </c>
      <c r="C17" s="136">
        <f>(C16/($D$9+$D$10))*$D$9</f>
        <v>515</v>
      </c>
      <c r="D17" s="136">
        <f>(D16/($D$9+$D$10))*$D$9</f>
        <v>569.075</v>
      </c>
      <c r="E17" s="137">
        <f>(E16/($D$9+$D$10))*$D$9</f>
        <v>631.2355</v>
      </c>
      <c r="F17" s="108"/>
      <c r="H17" s="228"/>
      <c r="I17" s="53" t="s">
        <v>140</v>
      </c>
      <c r="J17" s="174">
        <f>B69</f>
        <v>200</v>
      </c>
      <c r="K17" s="174">
        <f>C69</f>
        <v>0</v>
      </c>
      <c r="L17" s="174">
        <f>D69</f>
        <v>0</v>
      </c>
      <c r="M17" s="175">
        <f>E69</f>
        <v>0</v>
      </c>
      <c r="O17" s="244">
        <v>90</v>
      </c>
      <c r="P17" s="48" t="s">
        <v>165</v>
      </c>
      <c r="Q17" s="198">
        <f>J26-J25</f>
        <v>54.28333333333342</v>
      </c>
      <c r="R17" s="198">
        <f>K26-K25</f>
        <v>-32797.783274725276</v>
      </c>
      <c r="S17" s="198">
        <f>L26-L25</f>
        <v>-22695.429943970375</v>
      </c>
      <c r="T17" s="204">
        <f>M26-M25</f>
        <v>-1377.69051837204</v>
      </c>
      <c r="U17" s="254">
        <f>-J35/(J34/J31)</f>
        <v>4189.33283311449</v>
      </c>
      <c r="V17" s="255">
        <f>-K35/(K34/K31)</f>
        <v>3598.011659906207</v>
      </c>
      <c r="W17" s="255">
        <f>-L35/(L34/L31)</f>
        <v>3783.981984214617</v>
      </c>
      <c r="X17" s="256">
        <f>-M35/(M34/M31)</f>
        <v>4757.704077392792</v>
      </c>
    </row>
    <row r="18" spans="1:22" ht="12.75">
      <c r="A18" s="42" t="s">
        <v>114</v>
      </c>
      <c r="B18" s="89">
        <f>(B16/($D$9+$D$10))*$D$10</f>
        <v>5041.666666666666</v>
      </c>
      <c r="C18" s="89">
        <f>(C16/($D$9+$D$10))*$D$10</f>
        <v>5665</v>
      </c>
      <c r="D18" s="89">
        <f>(D16/($D$9+$D$10))*$D$10</f>
        <v>6259.825000000001</v>
      </c>
      <c r="E18" s="125">
        <f>(E16/($D$9+$D$10))*$D$10</f>
        <v>6943.5905</v>
      </c>
      <c r="F18" s="108"/>
      <c r="H18" s="228"/>
      <c r="I18" s="53" t="s">
        <v>108</v>
      </c>
      <c r="J18" s="174">
        <f>B109</f>
        <v>171.1333333333332</v>
      </c>
      <c r="K18" s="174">
        <f>C109</f>
        <v>288.6249413919413</v>
      </c>
      <c r="L18" s="174">
        <f>D109</f>
        <v>326.1456939703776</v>
      </c>
      <c r="M18" s="175">
        <f>E109</f>
        <v>383.98750237204024</v>
      </c>
      <c r="O18" s="243" t="s">
        <v>174</v>
      </c>
      <c r="P18" s="48" t="s">
        <v>164</v>
      </c>
      <c r="Q18" s="198">
        <f>Q16+Q17</f>
        <v>1762.4415422885563</v>
      </c>
      <c r="R18" s="198">
        <f>R16+R17</f>
        <v>-29373.637990186056</v>
      </c>
      <c r="S18" s="198">
        <f>S16+S17</f>
        <v>-17410.281092522884</v>
      </c>
      <c r="T18" s="204">
        <f>T16+T17</f>
        <v>5926.254470707482</v>
      </c>
      <c r="U18" s="297">
        <f>J31/Q16</f>
        <v>3.2198422670485636</v>
      </c>
      <c r="V18" s="18">
        <f>Q16-600</f>
        <v>1108.158208955223</v>
      </c>
    </row>
    <row r="19" spans="1:22" ht="13.5" thickBot="1">
      <c r="A19" s="43" t="s">
        <v>2</v>
      </c>
      <c r="B19" s="94">
        <f>B17+B18</f>
        <v>5499.999999999999</v>
      </c>
      <c r="C19" s="94">
        <f>C17+C18</f>
        <v>6180</v>
      </c>
      <c r="D19" s="94">
        <f>D17+D18</f>
        <v>6828.900000000001</v>
      </c>
      <c r="E19" s="128">
        <f>E17+E18</f>
        <v>7574.826</v>
      </c>
      <c r="F19" s="109"/>
      <c r="H19" s="228"/>
      <c r="I19" s="53" t="s">
        <v>654</v>
      </c>
      <c r="J19" s="174">
        <f>'Orçamento de Investimento'!B15</f>
        <v>0</v>
      </c>
      <c r="K19" s="174">
        <f>'Orçamento de Investimento'!C15</f>
        <v>31670.999999999996</v>
      </c>
      <c r="L19" s="174">
        <f>'Orçamento de Investimento'!D15</f>
        <v>21536.28</v>
      </c>
      <c r="M19" s="175">
        <f>'Orçamento de Investimento'!E15</f>
        <v>0</v>
      </c>
      <c r="O19" s="245">
        <v>1</v>
      </c>
      <c r="P19" s="48" t="s">
        <v>166</v>
      </c>
      <c r="Q19" s="68">
        <f>J48+Q16</f>
        <v>251483.15820895522</v>
      </c>
      <c r="R19" s="68">
        <f>K48+R16</f>
        <v>281833.1452845392</v>
      </c>
      <c r="S19" s="68">
        <f>L48+S16</f>
        <v>304761.3053514475</v>
      </c>
      <c r="T19" s="165">
        <f>M48+T16</f>
        <v>308911.8739490794</v>
      </c>
      <c r="U19" s="298">
        <f>O17/U18</f>
        <v>27.951679782903653</v>
      </c>
      <c r="V19" s="298">
        <f>Q16/4</f>
        <v>427.03955223880575</v>
      </c>
    </row>
    <row r="20" spans="1:22" ht="13.5" thickBot="1">
      <c r="A20" s="44" t="s">
        <v>102</v>
      </c>
      <c r="B20" s="95">
        <f>0.17*B19</f>
        <v>934.9999999999999</v>
      </c>
      <c r="C20" s="95">
        <f>0.17*C19</f>
        <v>1050.6000000000001</v>
      </c>
      <c r="D20" s="95">
        <f>0.17*D19</f>
        <v>1160.9130000000002</v>
      </c>
      <c r="E20" s="129">
        <f>0.17*E19</f>
        <v>1287.72042</v>
      </c>
      <c r="F20" s="109"/>
      <c r="H20" s="229" t="s">
        <v>20</v>
      </c>
      <c r="I20" s="48"/>
      <c r="J20" s="70">
        <f>SUM(J14:J19)</f>
        <v>1403.6333333333332</v>
      </c>
      <c r="K20" s="70">
        <f>SUM(K14:K19)</f>
        <v>33256.133274725275</v>
      </c>
      <c r="L20" s="70">
        <f>SUM(L14:L19)</f>
        <v>23201.906693970377</v>
      </c>
      <c r="M20" s="166">
        <f>SUM(M14:M19)</f>
        <v>1939.49011337204</v>
      </c>
      <c r="O20" s="229" t="s">
        <v>175</v>
      </c>
      <c r="P20" s="250" t="s">
        <v>173</v>
      </c>
      <c r="Q20" s="172">
        <f>POWER(($O15*IF(J24&gt;0,J24,-J24)*2/$O13),1/2)</f>
        <v>236.29279657722492</v>
      </c>
      <c r="R20" s="172">
        <f>POWER(($O15*IF(K24&gt;0,K24,-K24)*2/$O13),1/2)</f>
        <v>5808.172070183551</v>
      </c>
      <c r="S20" s="172">
        <f>POWER(($O15*IF(L24&gt;0,L24,-L24)*2/$O13),1/2)</f>
        <v>4831.549523653088</v>
      </c>
      <c r="T20" s="172">
        <f>POWER(($O15*IF(M24&gt;0,M24,-M24)*2/$O13),1/2)</f>
        <v>1190.4003967620479</v>
      </c>
      <c r="U20" s="299">
        <f>J46/J31*O17</f>
        <v>11.610952510176393</v>
      </c>
      <c r="V20" s="299">
        <f>V19*3</f>
        <v>1281.1186567164173</v>
      </c>
    </row>
    <row r="21" spans="1:21" ht="13.5" thickBot="1">
      <c r="A21" s="39" t="s">
        <v>131</v>
      </c>
      <c r="B21" s="96">
        <f>B19-B20</f>
        <v>4564.999999999999</v>
      </c>
      <c r="C21" s="96">
        <f>C19-C20</f>
        <v>5129.4</v>
      </c>
      <c r="D21" s="96">
        <f>D19-D20</f>
        <v>5667.987</v>
      </c>
      <c r="E21" s="130">
        <f>E19-E20</f>
        <v>6287.1055799999995</v>
      </c>
      <c r="F21" s="108"/>
      <c r="H21" s="228"/>
      <c r="I21" s="53"/>
      <c r="J21" s="68"/>
      <c r="K21" s="68"/>
      <c r="L21" s="68"/>
      <c r="M21" s="77"/>
      <c r="O21" s="246">
        <v>25</v>
      </c>
      <c r="P21" s="43" t="s">
        <v>177</v>
      </c>
      <c r="Q21" s="220">
        <f>IF(J24&gt;0,J24,-J24)/Q20</f>
        <v>0.22972910778341313</v>
      </c>
      <c r="R21" s="220">
        <f>IF(K24&gt;0,K24,-K24)/R20</f>
        <v>5.646833957122898</v>
      </c>
      <c r="S21" s="220">
        <f>IF(L24&gt;0,L24,-L24)/S20</f>
        <v>4.697339814662725</v>
      </c>
      <c r="T21" s="220">
        <f>IF(M24&gt;0,M24,-M24)/T20</f>
        <v>1.1573337190742135</v>
      </c>
      <c r="U21" s="305">
        <f>J45/J31*O17</f>
        <v>82.5</v>
      </c>
    </row>
    <row r="22" spans="8:21" ht="12.75">
      <c r="H22" s="229" t="s">
        <v>42</v>
      </c>
      <c r="I22" s="48"/>
      <c r="J22" s="171">
        <v>600</v>
      </c>
      <c r="K22" s="70">
        <f>J28</f>
        <v>0</v>
      </c>
      <c r="L22" s="70">
        <f>K28</f>
        <v>0</v>
      </c>
      <c r="M22" s="166">
        <f>L28</f>
        <v>0</v>
      </c>
      <c r="O22" s="226" t="s">
        <v>233</v>
      </c>
      <c r="P22" s="46" t="s">
        <v>169</v>
      </c>
      <c r="Q22" s="193">
        <f>POWER(($O21*B46*2/$O19),1/2)</f>
        <v>168.81943016134133</v>
      </c>
      <c r="R22" s="193">
        <f>POWER(($O21*C46*2/$O19),1/2)</f>
        <v>174.64249196572982</v>
      </c>
      <c r="S22" s="193">
        <f>POWER(($O21*D46*2/$O19),1/2)</f>
        <v>181.6590212458495</v>
      </c>
      <c r="T22" s="194">
        <f>POWER(($O21*E46*2/$O19),1/2)</f>
        <v>184.66185312619388</v>
      </c>
      <c r="U22" s="298">
        <f>SUM(J53:J55)/J31*O17</f>
        <v>66.15927272727274</v>
      </c>
    </row>
    <row r="23" spans="8:21" ht="13.5" thickBot="1">
      <c r="H23" s="229" t="s">
        <v>43</v>
      </c>
      <c r="I23" s="48"/>
      <c r="J23" s="70">
        <f>J12-J20</f>
        <v>-545.7166666666666</v>
      </c>
      <c r="K23" s="70">
        <f>K12-K20</f>
        <v>-32797.783274725276</v>
      </c>
      <c r="L23" s="70">
        <f>L12-L20</f>
        <v>-22695.429943970375</v>
      </c>
      <c r="M23" s="166">
        <f>M12-M20</f>
        <v>-1377.69051837204</v>
      </c>
      <c r="O23" s="247">
        <f>(J24+K24+L24+M24)/4</f>
        <v>-14204.155100933589</v>
      </c>
      <c r="P23" s="43" t="s">
        <v>176</v>
      </c>
      <c r="Q23" s="220">
        <f>B46/Q22</f>
        <v>3.376388603226826</v>
      </c>
      <c r="R23" s="220">
        <f>C46/R22</f>
        <v>3.4928498393145957</v>
      </c>
      <c r="S23" s="220">
        <f>D46/S22</f>
        <v>3.6331804249169903</v>
      </c>
      <c r="T23" s="221">
        <f>E46/T22</f>
        <v>3.6932370625238775</v>
      </c>
      <c r="U23" s="38">
        <f>U21+U20-U22</f>
        <v>27.951679782903653</v>
      </c>
    </row>
    <row r="24" spans="1:20" ht="13.5" thickBot="1">
      <c r="A24" s="44" t="s">
        <v>7</v>
      </c>
      <c r="B24" s="45" t="str">
        <f>$B$13</f>
        <v>Trim 1</v>
      </c>
      <c r="C24" s="45" t="str">
        <f>$C$13</f>
        <v>Trim 2</v>
      </c>
      <c r="D24" s="45" t="str">
        <f>$D$13</f>
        <v>Trim 3</v>
      </c>
      <c r="E24" s="118" t="str">
        <f>$E$13</f>
        <v>Trim 4</v>
      </c>
      <c r="F24" s="19"/>
      <c r="H24" s="229" t="s">
        <v>44</v>
      </c>
      <c r="I24" s="48"/>
      <c r="J24" s="70">
        <f>J22+J23</f>
        <v>54.28333333333342</v>
      </c>
      <c r="K24" s="70">
        <f>K22+K23</f>
        <v>-32797.783274725276</v>
      </c>
      <c r="L24" s="70">
        <f>L22+L23</f>
        <v>-22695.429943970375</v>
      </c>
      <c r="M24" s="166">
        <f>M22+M23</f>
        <v>-1377.69051837204</v>
      </c>
      <c r="O24" s="226" t="s">
        <v>234</v>
      </c>
      <c r="P24" s="251" t="s">
        <v>231</v>
      </c>
      <c r="Q24" s="218">
        <f>POWER((3/4*O15*O25/Q25),1/3)</f>
        <v>13221.035979155951</v>
      </c>
      <c r="R24" s="212" t="s">
        <v>238</v>
      </c>
      <c r="S24" s="218">
        <f>Q27-Q24</f>
        <v>26442.0719583119</v>
      </c>
      <c r="T24" s="219"/>
    </row>
    <row r="25" spans="1:20" ht="12.75">
      <c r="A25" s="46" t="s">
        <v>115</v>
      </c>
      <c r="B25" s="47">
        <f>B18</f>
        <v>5041.666666666666</v>
      </c>
      <c r="C25" s="47">
        <f>C18</f>
        <v>5665</v>
      </c>
      <c r="D25" s="47">
        <f>D18</f>
        <v>6259.825000000001</v>
      </c>
      <c r="E25" s="119">
        <f>E18</f>
        <v>6943.5905</v>
      </c>
      <c r="F25" s="109"/>
      <c r="H25" s="229" t="s">
        <v>45</v>
      </c>
      <c r="I25" s="48"/>
      <c r="J25" s="49">
        <f>IF(J24&lt;0,-J24+J27,0)</f>
        <v>0</v>
      </c>
      <c r="K25" s="49">
        <f>IF(K24&lt;0,-K24+K27,0)</f>
        <v>32797.783274725276</v>
      </c>
      <c r="L25" s="49">
        <f>IF(L24&lt;0,-L24+L27,0)</f>
        <v>22695.429943970375</v>
      </c>
      <c r="M25" s="121">
        <f>IF(M24&lt;0,-M24+M27,0)</f>
        <v>1377.69051837204</v>
      </c>
      <c r="O25" s="248">
        <f>(POWER((J24-O23),2)+POWER((K24-O23),2)+POWER((L24-O23),2)+POWER((M24-O23),2))/4</f>
        <v>196411504.3491738</v>
      </c>
      <c r="P25" s="48" t="s">
        <v>232</v>
      </c>
      <c r="Q25" s="240">
        <f>POWER(($O13+1),1/30)-1</f>
        <v>0.0011473719520513903</v>
      </c>
      <c r="R25" s="67"/>
      <c r="S25" s="67"/>
      <c r="T25" s="77"/>
    </row>
    <row r="26" spans="1:20" ht="12.75">
      <c r="A26" s="48" t="s">
        <v>116</v>
      </c>
      <c r="B26" s="97">
        <v>90</v>
      </c>
      <c r="C26" s="97">
        <v>91</v>
      </c>
      <c r="D26" s="97">
        <v>92</v>
      </c>
      <c r="E26" s="120">
        <v>91</v>
      </c>
      <c r="F26" s="110"/>
      <c r="H26" s="228" t="s">
        <v>46</v>
      </c>
      <c r="I26" s="42"/>
      <c r="J26" s="68">
        <f>IF(J24&gt;0,J24-J27,0)</f>
        <v>54.28333333333342</v>
      </c>
      <c r="K26" s="68">
        <f>IF(K24&gt;0,K24-K27,0)</f>
        <v>0</v>
      </c>
      <c r="L26" s="68">
        <f>IF(L24&gt;0,L24-L27,0)</f>
        <v>0</v>
      </c>
      <c r="M26" s="165">
        <f>IF(M24&gt;0,M24-M27,0)</f>
        <v>0</v>
      </c>
      <c r="O26" s="229" t="s">
        <v>235</v>
      </c>
      <c r="P26" s="48" t="s">
        <v>236</v>
      </c>
      <c r="Q26" s="68">
        <f>4/3*Q24</f>
        <v>17628.047972207933</v>
      </c>
      <c r="R26" s="67"/>
      <c r="S26" s="67"/>
      <c r="T26" s="77"/>
    </row>
    <row r="27" spans="1:20" ht="13.5" thickBot="1">
      <c r="A27" s="48" t="s">
        <v>117</v>
      </c>
      <c r="B27" s="49">
        <f>B25/B26</f>
        <v>56.01851851851851</v>
      </c>
      <c r="C27" s="49">
        <f>C25/C26</f>
        <v>62.252747252747255</v>
      </c>
      <c r="D27" s="49">
        <f>D25/D26</f>
        <v>68.04157608695652</v>
      </c>
      <c r="E27" s="121">
        <f>E25/E26</f>
        <v>76.30319230769231</v>
      </c>
      <c r="F27" s="109"/>
      <c r="H27" s="228" t="s">
        <v>47</v>
      </c>
      <c r="I27" s="42"/>
      <c r="J27" s="74"/>
      <c r="K27" s="74"/>
      <c r="L27" s="74"/>
      <c r="M27" s="167"/>
      <c r="O27" s="249">
        <f>POWER(O25,0.5)</f>
        <v>14014.688878072671</v>
      </c>
      <c r="P27" s="50" t="s">
        <v>237</v>
      </c>
      <c r="Q27" s="190">
        <f>3*Q24</f>
        <v>39663.10793746785</v>
      </c>
      <c r="R27" s="72"/>
      <c r="S27" s="72"/>
      <c r="T27" s="183"/>
    </row>
    <row r="28" spans="1:18" ht="13.5" thickBot="1">
      <c r="A28" s="48" t="s">
        <v>119</v>
      </c>
      <c r="B28" s="69">
        <f>((1+$D$10)*30)/2</f>
        <v>180</v>
      </c>
      <c r="C28" s="69">
        <f>((1+$D$10)*30)/2</f>
        <v>180</v>
      </c>
      <c r="D28" s="69">
        <f>((1+$D$10)*30)/2</f>
        <v>180</v>
      </c>
      <c r="E28" s="122">
        <f>((1+$D$10)*30)/2</f>
        <v>180</v>
      </c>
      <c r="F28" s="111"/>
      <c r="H28" s="230" t="s">
        <v>48</v>
      </c>
      <c r="I28" s="50"/>
      <c r="J28" s="71">
        <f>J24+J25-J26</f>
        <v>0</v>
      </c>
      <c r="K28" s="71">
        <f>K24+K25-K26</f>
        <v>0</v>
      </c>
      <c r="L28" s="71">
        <f>L24+L25-L26</f>
        <v>0</v>
      </c>
      <c r="M28" s="168">
        <f>M24+M25-M26</f>
        <v>0</v>
      </c>
      <c r="O28" s="657" t="s">
        <v>244</v>
      </c>
      <c r="P28" s="657"/>
      <c r="Q28" s="657"/>
      <c r="R28" s="657"/>
    </row>
    <row r="29" spans="1:18" ht="13.5" thickBot="1">
      <c r="A29" s="50" t="s">
        <v>120</v>
      </c>
      <c r="B29" s="51">
        <f>IF(B26&gt;B28,B27*B28,B25)</f>
        <v>5041.666666666666</v>
      </c>
      <c r="C29" s="51">
        <f>IF(C26&gt;C28,C27*C28,IF(C28&lt;60,C25+B25*(B28-30)/B26,C25+B25))</f>
        <v>10706.666666666666</v>
      </c>
      <c r="D29" s="51">
        <f>IF(D26&gt;D28,D27*D28,IF(D28&lt;60,D25+C25*(C28-30)/C26,IF(D28&lt;90,D25+C25+(D28-60)/D26*B25,D25+C25+B25)))</f>
        <v>16966.49166666667</v>
      </c>
      <c r="E29" s="123">
        <f>IF(E26&gt;E28,E27*E28,IF(E28&lt;60,E25+D25*(D28-30)/D26,IF(E28&lt;90,E25+D25+(E28-60)/C26*C25,IF(E28&lt;120,E25+D25+C25+(E28-90)/B26*B25,E25+D25+C25+B25))))</f>
        <v>23910.082166666667</v>
      </c>
      <c r="F29" s="109"/>
      <c r="O29" s="222" t="str">
        <f>J30</f>
        <v>Trim 1</v>
      </c>
      <c r="P29" s="223" t="str">
        <f>K30</f>
        <v>Trim 2</v>
      </c>
      <c r="Q29" s="223" t="str">
        <f>L30</f>
        <v>Trim 3</v>
      </c>
      <c r="R29" s="225" t="str">
        <f>M30</f>
        <v>Trim 4</v>
      </c>
    </row>
    <row r="30" spans="1:18" ht="13.5" thickBot="1">
      <c r="A30" s="61" t="s">
        <v>118</v>
      </c>
      <c r="B30" s="282">
        <v>450</v>
      </c>
      <c r="C30" s="148">
        <f>B34</f>
        <v>5041.666666666666</v>
      </c>
      <c r="D30" s="148">
        <f>C34</f>
        <v>10706.666666666666</v>
      </c>
      <c r="E30" s="156">
        <f>D34</f>
        <v>16966.49166666667</v>
      </c>
      <c r="F30" s="108"/>
      <c r="H30" s="231" t="s">
        <v>54</v>
      </c>
      <c r="I30" s="39"/>
      <c r="J30" s="40" t="str">
        <f>$B$13</f>
        <v>Trim 1</v>
      </c>
      <c r="K30" s="40" t="str">
        <f>$C$13</f>
        <v>Trim 2</v>
      </c>
      <c r="L30" s="40" t="str">
        <f>$D$13</f>
        <v>Trim 3</v>
      </c>
      <c r="M30" s="84" t="str">
        <f>$E$13</f>
        <v>Trim 4</v>
      </c>
      <c r="O30" s="259">
        <v>1</v>
      </c>
      <c r="P30" s="260">
        <v>1</v>
      </c>
      <c r="Q30" s="260">
        <v>1</v>
      </c>
      <c r="R30" s="261">
        <v>1</v>
      </c>
    </row>
    <row r="31" spans="1:18" ht="12.75">
      <c r="A31" s="42" t="s">
        <v>148</v>
      </c>
      <c r="B31" s="89">
        <f>B25</f>
        <v>5041.666666666666</v>
      </c>
      <c r="C31" s="89">
        <f>C25</f>
        <v>5665</v>
      </c>
      <c r="D31" s="89">
        <f>D25</f>
        <v>6259.825000000001</v>
      </c>
      <c r="E31" s="125">
        <f>E25</f>
        <v>6943.5905</v>
      </c>
      <c r="F31" s="108"/>
      <c r="H31" s="227" t="s">
        <v>55</v>
      </c>
      <c r="I31" s="41"/>
      <c r="J31" s="169">
        <f>B19</f>
        <v>5499.999999999999</v>
      </c>
      <c r="K31" s="169">
        <f>C19</f>
        <v>6180</v>
      </c>
      <c r="L31" s="169">
        <f>D19</f>
        <v>6828.900000000001</v>
      </c>
      <c r="M31" s="232">
        <f>E19</f>
        <v>7574.826</v>
      </c>
      <c r="O31" s="262">
        <f aca="true" t="shared" si="1" ref="O31:R34">J32/J$31</f>
        <v>-0.17</v>
      </c>
      <c r="P31" s="263">
        <f t="shared" si="1"/>
        <v>-0.17</v>
      </c>
      <c r="Q31" s="263">
        <f t="shared" si="1"/>
        <v>-0.17</v>
      </c>
      <c r="R31" s="264">
        <f t="shared" si="1"/>
        <v>-0.17</v>
      </c>
    </row>
    <row r="32" spans="1:18" ht="12.75">
      <c r="A32" s="42" t="s">
        <v>245</v>
      </c>
      <c r="B32" s="89">
        <f>'Relaxamento dos Padrões de Créd'!$B$11*B31</f>
        <v>50.416666666666664</v>
      </c>
      <c r="C32" s="89">
        <f>'Relaxamento dos Padrões de Créd'!$B$11*C31</f>
        <v>56.65</v>
      </c>
      <c r="D32" s="89">
        <f>'Relaxamento dos Padrões de Créd'!$B$11*D31</f>
        <v>62.59825000000001</v>
      </c>
      <c r="E32" s="125">
        <f>'Relaxamento dos Padrões de Créd'!$B$11*E31</f>
        <v>69.435905</v>
      </c>
      <c r="F32" s="108"/>
      <c r="H32" s="227"/>
      <c r="I32" s="41" t="s">
        <v>110</v>
      </c>
      <c r="J32" s="169">
        <f>-B20</f>
        <v>-934.9999999999999</v>
      </c>
      <c r="K32" s="169">
        <f>-C20</f>
        <v>-1050.6000000000001</v>
      </c>
      <c r="L32" s="169">
        <f>-D20</f>
        <v>-1160.9130000000002</v>
      </c>
      <c r="M32" s="232">
        <f>-E20</f>
        <v>-1287.72042</v>
      </c>
      <c r="O32" s="262">
        <f t="shared" si="1"/>
        <v>-0.5912985074626866</v>
      </c>
      <c r="P32" s="263">
        <f t="shared" si="1"/>
        <v>-0.5798618445212428</v>
      </c>
      <c r="Q32" s="263">
        <f t="shared" si="1"/>
        <v>-0.5789417222484009</v>
      </c>
      <c r="R32" s="264">
        <f t="shared" si="1"/>
        <v>-0.5777775035017317</v>
      </c>
    </row>
    <row r="33" spans="1:18" ht="12.75">
      <c r="A33" s="42" t="s">
        <v>8</v>
      </c>
      <c r="B33" s="136">
        <f>B30+B31-B34-B32</f>
        <v>399.5833333333333</v>
      </c>
      <c r="C33" s="136">
        <f>C30+C31-C34-C32</f>
        <v>-56.65</v>
      </c>
      <c r="D33" s="136">
        <f>D30+D31-D34-D32</f>
        <v>-62.59825000000001</v>
      </c>
      <c r="E33" s="137">
        <f>E30+E31-E34-E32</f>
        <v>-69.435905</v>
      </c>
      <c r="F33" s="109"/>
      <c r="H33" s="228"/>
      <c r="I33" s="42" t="s">
        <v>56</v>
      </c>
      <c r="J33" s="152">
        <f>-B81</f>
        <v>-3252.1417910447763</v>
      </c>
      <c r="K33" s="152">
        <f>-C81</f>
        <v>-3583.5461991412803</v>
      </c>
      <c r="L33" s="152">
        <f>-D81</f>
        <v>-3953.5351270621054</v>
      </c>
      <c r="M33" s="158">
        <f>-E81</f>
        <v>-4376.564055740008</v>
      </c>
      <c r="O33" s="262">
        <f t="shared" si="1"/>
        <v>0.2387014925373133</v>
      </c>
      <c r="P33" s="263">
        <f t="shared" si="1"/>
        <v>0.2501381554787572</v>
      </c>
      <c r="Q33" s="263">
        <f t="shared" si="1"/>
        <v>0.251058277751599</v>
      </c>
      <c r="R33" s="264">
        <f t="shared" si="1"/>
        <v>0.2522224964982682</v>
      </c>
    </row>
    <row r="34" spans="1:18" ht="13.5" thickBot="1">
      <c r="A34" s="50" t="s">
        <v>9</v>
      </c>
      <c r="B34" s="51">
        <f>B29</f>
        <v>5041.666666666666</v>
      </c>
      <c r="C34" s="51">
        <f>C29</f>
        <v>10706.666666666666</v>
      </c>
      <c r="D34" s="51">
        <f>D29</f>
        <v>16966.49166666667</v>
      </c>
      <c r="E34" s="123">
        <f>E29</f>
        <v>23910.082166666667</v>
      </c>
      <c r="H34" s="228" t="s">
        <v>57</v>
      </c>
      <c r="I34" s="42"/>
      <c r="J34" s="152">
        <f>SUM(J31:J33)</f>
        <v>1312.8582089552228</v>
      </c>
      <c r="K34" s="152">
        <f>SUM(K31:K33)</f>
        <v>1545.8538008587193</v>
      </c>
      <c r="L34" s="152">
        <f>SUM(L31:L33)</f>
        <v>1714.4518729378947</v>
      </c>
      <c r="M34" s="158">
        <f>SUM(M31:M33)</f>
        <v>1910.541524259991</v>
      </c>
      <c r="O34" s="262">
        <f t="shared" si="1"/>
        <v>-0.18181818181818185</v>
      </c>
      <c r="P34" s="263">
        <f t="shared" si="1"/>
        <v>-0.14563106796116504</v>
      </c>
      <c r="Q34" s="263">
        <f t="shared" si="1"/>
        <v>-0.1391146451112185</v>
      </c>
      <c r="R34" s="264">
        <f t="shared" si="1"/>
        <v>-0.1584194805266814</v>
      </c>
    </row>
    <row r="35" spans="8:18" ht="13.5" thickBot="1">
      <c r="H35" s="228"/>
      <c r="I35" s="42" t="s">
        <v>58</v>
      </c>
      <c r="J35" s="152">
        <f>-B88</f>
        <v>-1000</v>
      </c>
      <c r="K35" s="152">
        <f>-C88</f>
        <v>-900</v>
      </c>
      <c r="L35" s="152">
        <f>-D88</f>
        <v>-950</v>
      </c>
      <c r="M35" s="158">
        <f>-E88</f>
        <v>-1200</v>
      </c>
      <c r="O35" s="265">
        <f>J39/J$31</f>
        <v>0.006807553143373795</v>
      </c>
      <c r="P35" s="266">
        <f>K39/K$31</f>
        <v>-0.3960835273691386</v>
      </c>
      <c r="Q35" s="266">
        <f>L39/L$31</f>
        <v>0.03408017732546876</v>
      </c>
      <c r="R35" s="267">
        <f>M39/M$31</f>
        <v>0.36606492073348496</v>
      </c>
    </row>
    <row r="36" spans="6:18" ht="13.5" thickBot="1">
      <c r="F36" s="19"/>
      <c r="H36" s="236"/>
      <c r="I36" s="63" t="s">
        <v>245</v>
      </c>
      <c r="J36" s="283">
        <f>-B32</f>
        <v>-50.416666666666664</v>
      </c>
      <c r="K36" s="283">
        <f>-C32</f>
        <v>-56.65</v>
      </c>
      <c r="L36" s="283">
        <f>-D32</f>
        <v>-62.59825000000001</v>
      </c>
      <c r="M36" s="284">
        <f>-E32</f>
        <v>-69.435905</v>
      </c>
      <c r="O36" s="657" t="s">
        <v>244</v>
      </c>
      <c r="P36" s="657"/>
      <c r="Q36" s="657"/>
      <c r="R36" s="657"/>
    </row>
    <row r="37" spans="1:18" ht="13.5" thickBot="1">
      <c r="A37" s="61" t="s">
        <v>10</v>
      </c>
      <c r="B37" s="45"/>
      <c r="C37" s="45"/>
      <c r="D37" s="45" t="s">
        <v>143</v>
      </c>
      <c r="E37" s="118"/>
      <c r="F37" s="101"/>
      <c r="H37" s="236"/>
      <c r="I37" s="63" t="s">
        <v>248</v>
      </c>
      <c r="J37" s="283">
        <f>-'Orçamento de Investimento'!B27</f>
        <v>-7762.499999999999</v>
      </c>
      <c r="K37" s="283">
        <f>-'Orçamento de Investimento'!C27</f>
        <v>-7917.749999999999</v>
      </c>
      <c r="L37" s="283">
        <f>-'Orçamento de Investimento'!D27</f>
        <v>-8883.7155</v>
      </c>
      <c r="M37" s="284">
        <f>-'Orçamento de Investimento'!E27</f>
        <v>-9704.786175</v>
      </c>
      <c r="O37" s="268" t="str">
        <f>J41</f>
        <v>Trim 1</v>
      </c>
      <c r="P37" s="269" t="str">
        <f>K41</f>
        <v>Trim 2</v>
      </c>
      <c r="Q37" s="269" t="str">
        <f>L41</f>
        <v>Trim 3</v>
      </c>
      <c r="R37" s="270" t="str">
        <f>M41</f>
        <v>Trim 4</v>
      </c>
    </row>
    <row r="38" spans="1:18" ht="12.75">
      <c r="A38" s="42" t="s">
        <v>5</v>
      </c>
      <c r="B38" s="89">
        <f>($B$40/($D$38+$D$39))*D38</f>
        <v>0.5833333333333334</v>
      </c>
      <c r="C38" s="67"/>
      <c r="D38" s="86">
        <v>1</v>
      </c>
      <c r="E38" s="77"/>
      <c r="F38" s="103"/>
      <c r="H38" s="233"/>
      <c r="I38" s="42" t="s">
        <v>249</v>
      </c>
      <c r="J38" s="152">
        <f>'Orçamento de Investimento'!B35</f>
        <v>7537.499999999999</v>
      </c>
      <c r="K38" s="152">
        <f>'Orçamento de Investimento'!C35</f>
        <v>4880.750000000003</v>
      </c>
      <c r="L38" s="152">
        <f>'Orçamento de Investimento'!D35</f>
        <v>8414.591999999999</v>
      </c>
      <c r="M38" s="158">
        <f>'Orçamento de Investimento'!E35</f>
        <v>11836.558634999948</v>
      </c>
      <c r="O38" s="259"/>
      <c r="P38" s="260"/>
      <c r="Q38" s="260"/>
      <c r="R38" s="261"/>
    </row>
    <row r="39" spans="1:18" ht="13.5" thickBot="1">
      <c r="A39" s="42" t="s">
        <v>6</v>
      </c>
      <c r="B39" s="89">
        <f>($B$40/($D$38+$D$39))*D39</f>
        <v>6.416666666666667</v>
      </c>
      <c r="C39" s="67"/>
      <c r="D39" s="86">
        <v>11</v>
      </c>
      <c r="E39" s="78"/>
      <c r="F39" s="112"/>
      <c r="H39" s="230" t="s">
        <v>59</v>
      </c>
      <c r="I39" s="64"/>
      <c r="J39" s="71">
        <f>J34+J35+J36+J37+J38</f>
        <v>37.441542288555866</v>
      </c>
      <c r="K39" s="71">
        <f>K34+K35+K36+K37+K38</f>
        <v>-2447.7961991412767</v>
      </c>
      <c r="L39" s="71">
        <f>L34+L35+L36+L37+L38</f>
        <v>232.7301229378936</v>
      </c>
      <c r="M39" s="168">
        <f>M34+M35+M36+M37+M38</f>
        <v>2772.878079259941</v>
      </c>
      <c r="O39" s="271">
        <f aca="true" t="shared" si="2" ref="O39:R44">J43/J$51</f>
        <v>0</v>
      </c>
      <c r="P39" s="240">
        <f t="shared" si="2"/>
        <v>0</v>
      </c>
      <c r="Q39" s="240">
        <f t="shared" si="2"/>
        <v>0</v>
      </c>
      <c r="R39" s="272">
        <f t="shared" si="2"/>
        <v>0</v>
      </c>
    </row>
    <row r="40" spans="1:18" ht="13.5" thickBot="1">
      <c r="A40" s="64" t="s">
        <v>15</v>
      </c>
      <c r="B40" s="99">
        <v>7</v>
      </c>
      <c r="C40" s="72"/>
      <c r="D40" s="79"/>
      <c r="E40" s="80"/>
      <c r="O40" s="271">
        <f t="shared" si="2"/>
        <v>0.000212392305319907</v>
      </c>
      <c r="P40" s="240">
        <f t="shared" si="2"/>
        <v>0.00018721852087066397</v>
      </c>
      <c r="Q40" s="240">
        <f t="shared" si="2"/>
        <v>0.00017105276945982275</v>
      </c>
      <c r="R40" s="272">
        <f t="shared" si="2"/>
        <v>0.00016634232362343246</v>
      </c>
    </row>
    <row r="41" spans="6:18" ht="13.5" thickBot="1">
      <c r="F41" s="133" t="s">
        <v>150</v>
      </c>
      <c r="H41" s="231" t="s">
        <v>60</v>
      </c>
      <c r="I41" s="39"/>
      <c r="J41" s="40" t="str">
        <f>$B$13</f>
        <v>Trim 1</v>
      </c>
      <c r="K41" s="40" t="str">
        <f>$C$13</f>
        <v>Trim 2</v>
      </c>
      <c r="L41" s="40" t="str">
        <f>$D$13</f>
        <v>Trim 3</v>
      </c>
      <c r="M41" s="84" t="str">
        <f>$E$13</f>
        <v>Trim 4</v>
      </c>
      <c r="O41" s="271">
        <f t="shared" si="2"/>
        <v>0.019726334774108616</v>
      </c>
      <c r="P41" s="240">
        <f t="shared" si="2"/>
        <v>0.03692636714992764</v>
      </c>
      <c r="Q41" s="240">
        <f t="shared" si="2"/>
        <v>0.05346328623150751</v>
      </c>
      <c r="R41" s="272">
        <f t="shared" si="2"/>
        <v>0.07326850400301851</v>
      </c>
    </row>
    <row r="42" spans="1:18" ht="13.5" thickBot="1">
      <c r="A42" s="44" t="s">
        <v>11</v>
      </c>
      <c r="B42" s="45" t="str">
        <f>$B$13</f>
        <v>Trim 1</v>
      </c>
      <c r="C42" s="45" t="str">
        <f>$C$13</f>
        <v>Trim 2</v>
      </c>
      <c r="D42" s="45" t="str">
        <f>$D$13</f>
        <v>Trim 3</v>
      </c>
      <c r="E42" s="40" t="str">
        <f>$E$13</f>
        <v>Trim 4</v>
      </c>
      <c r="F42" s="132">
        <f>610</f>
        <v>610</v>
      </c>
      <c r="H42" s="233" t="s">
        <v>61</v>
      </c>
      <c r="I42" s="41"/>
      <c r="J42" s="66"/>
      <c r="K42" s="66"/>
      <c r="L42" s="66"/>
      <c r="M42" s="83"/>
      <c r="O42" s="271">
        <f t="shared" si="2"/>
        <v>0.0027762610456001976</v>
      </c>
      <c r="P42" s="240">
        <f t="shared" si="2"/>
        <v>0.002677857183105296</v>
      </c>
      <c r="Q42" s="240">
        <f t="shared" si="2"/>
        <v>0.002683266958353171</v>
      </c>
      <c r="R42" s="272">
        <f t="shared" si="2"/>
        <v>0.002337390827964404</v>
      </c>
    </row>
    <row r="43" spans="1:18" ht="13.5" thickBot="1">
      <c r="A43" s="52" t="s">
        <v>149</v>
      </c>
      <c r="B43" s="100">
        <f>B14</f>
        <v>550</v>
      </c>
      <c r="C43" s="100">
        <f>C14</f>
        <v>600</v>
      </c>
      <c r="D43" s="100">
        <f>D14</f>
        <v>650</v>
      </c>
      <c r="E43" s="100">
        <f>E14</f>
        <v>700</v>
      </c>
      <c r="F43" s="131">
        <v>0.2</v>
      </c>
      <c r="H43" s="234"/>
      <c r="I43" s="53" t="s">
        <v>62</v>
      </c>
      <c r="J43" s="152">
        <f>J28</f>
        <v>0</v>
      </c>
      <c r="K43" s="152">
        <f>K28</f>
        <v>0</v>
      </c>
      <c r="L43" s="152">
        <f>L28</f>
        <v>0</v>
      </c>
      <c r="M43" s="158">
        <f>M28</f>
        <v>0</v>
      </c>
      <c r="O43" s="271">
        <f t="shared" si="2"/>
        <v>0</v>
      </c>
      <c r="P43" s="240">
        <f t="shared" si="2"/>
        <v>0</v>
      </c>
      <c r="Q43" s="240">
        <f t="shared" si="2"/>
        <v>0</v>
      </c>
      <c r="R43" s="272">
        <f t="shared" si="2"/>
        <v>0</v>
      </c>
    </row>
    <row r="44" spans="1:18" ht="12.75">
      <c r="A44" s="53" t="s">
        <v>12</v>
      </c>
      <c r="B44" s="69">
        <f>$F$43*C43</f>
        <v>120</v>
      </c>
      <c r="C44" s="69">
        <f>$F$43*D43</f>
        <v>130</v>
      </c>
      <c r="D44" s="69">
        <f>$F$43*E43</f>
        <v>140</v>
      </c>
      <c r="E44" s="69">
        <f>$F$43*F42</f>
        <v>122</v>
      </c>
      <c r="F44" s="107"/>
      <c r="H44" s="233"/>
      <c r="I44" s="53" t="s">
        <v>151</v>
      </c>
      <c r="J44" s="152">
        <f>J26</f>
        <v>54.28333333333342</v>
      </c>
      <c r="K44" s="152">
        <f>J44+K26</f>
        <v>54.28333333333342</v>
      </c>
      <c r="L44" s="152">
        <f>K44+L26</f>
        <v>54.28333333333342</v>
      </c>
      <c r="M44" s="158">
        <f>L44+M26</f>
        <v>54.28333333333342</v>
      </c>
      <c r="O44" s="271">
        <f t="shared" si="2"/>
        <v>0.9772850118749713</v>
      </c>
      <c r="P44" s="240">
        <f t="shared" si="2"/>
        <v>0.9602085571460964</v>
      </c>
      <c r="Q44" s="240">
        <f t="shared" si="2"/>
        <v>0.9436823940406794</v>
      </c>
      <c r="R44" s="272">
        <f t="shared" si="2"/>
        <v>0.9242277628453938</v>
      </c>
    </row>
    <row r="45" spans="1:18" ht="12.75">
      <c r="A45" s="53" t="s">
        <v>13</v>
      </c>
      <c r="B45" s="55">
        <v>100</v>
      </c>
      <c r="C45" s="69">
        <f>B44</f>
        <v>120</v>
      </c>
      <c r="D45" s="69">
        <f>C44</f>
        <v>130</v>
      </c>
      <c r="E45" s="122">
        <f>D44</f>
        <v>140</v>
      </c>
      <c r="F45" s="107"/>
      <c r="H45" s="233"/>
      <c r="I45" s="53" t="s">
        <v>38</v>
      </c>
      <c r="J45" s="89">
        <f>B34</f>
        <v>5041.666666666666</v>
      </c>
      <c r="K45" s="89">
        <f>C34</f>
        <v>10706.666666666666</v>
      </c>
      <c r="L45" s="89">
        <f>D34</f>
        <v>16966.49166666667</v>
      </c>
      <c r="M45" s="125">
        <f>E34</f>
        <v>23910.082166666667</v>
      </c>
      <c r="O45" s="271">
        <v>1</v>
      </c>
      <c r="P45" s="240">
        <v>1</v>
      </c>
      <c r="Q45" s="240">
        <v>1</v>
      </c>
      <c r="R45" s="272">
        <v>1</v>
      </c>
    </row>
    <row r="46" spans="1:18" ht="12.75">
      <c r="A46" s="53" t="s">
        <v>14</v>
      </c>
      <c r="B46" s="69">
        <f>B43+B44-B45</f>
        <v>570</v>
      </c>
      <c r="C46" s="69">
        <f>C43+C44-C45</f>
        <v>610</v>
      </c>
      <c r="D46" s="69">
        <f>D43+D44-D45</f>
        <v>660</v>
      </c>
      <c r="E46" s="122">
        <f>E43+E44-E45</f>
        <v>682</v>
      </c>
      <c r="F46" s="113"/>
      <c r="H46" s="233"/>
      <c r="I46" s="53" t="s">
        <v>63</v>
      </c>
      <c r="J46" s="89">
        <f>B83</f>
        <v>709.5582089552239</v>
      </c>
      <c r="K46" s="89">
        <f>C83</f>
        <v>776.435009813944</v>
      </c>
      <c r="L46" s="89">
        <f>D83</f>
        <v>851.5306427518382</v>
      </c>
      <c r="M46" s="125">
        <f>E83</f>
        <v>762.7725925718299</v>
      </c>
      <c r="O46" s="271"/>
      <c r="P46" s="240"/>
      <c r="Q46" s="240"/>
      <c r="R46" s="272"/>
    </row>
    <row r="47" spans="1:18" ht="12.75">
      <c r="A47" s="53" t="s">
        <v>16</v>
      </c>
      <c r="B47" s="89">
        <f>B40</f>
        <v>7</v>
      </c>
      <c r="C47" s="89">
        <f>B47+B47*B11</f>
        <v>7.21</v>
      </c>
      <c r="D47" s="89">
        <f>C47+C47*C11</f>
        <v>7.3542</v>
      </c>
      <c r="E47" s="125">
        <f>D47+D47*D11</f>
        <v>7.574826</v>
      </c>
      <c r="F47" s="114"/>
      <c r="H47" s="233"/>
      <c r="I47" s="53" t="s">
        <v>109</v>
      </c>
      <c r="J47" s="89"/>
      <c r="K47" s="89"/>
      <c r="L47" s="89"/>
      <c r="M47" s="125"/>
      <c r="O47" s="271">
        <f aca="true" t="shared" si="3" ref="O47:R50">J53/J$60</f>
        <v>0.01431055922703516</v>
      </c>
      <c r="P47" s="240">
        <f t="shared" si="3"/>
        <v>0.026519012011156515</v>
      </c>
      <c r="Q47" s="240">
        <f t="shared" si="3"/>
        <v>0.03824938234994975</v>
      </c>
      <c r="R47" s="272">
        <f t="shared" si="3"/>
        <v>0.05170731892245072</v>
      </c>
    </row>
    <row r="48" spans="1:18" ht="12.75">
      <c r="A48" s="48" t="s">
        <v>17</v>
      </c>
      <c r="B48" s="49">
        <f>B46*B47</f>
        <v>3990</v>
      </c>
      <c r="C48" s="49">
        <f>C46*C47</f>
        <v>4398.1</v>
      </c>
      <c r="D48" s="49">
        <f>D46*D47</f>
        <v>4853.772</v>
      </c>
      <c r="E48" s="121">
        <f>E46*E47</f>
        <v>5166.031332</v>
      </c>
      <c r="F48" s="113"/>
      <c r="H48" s="233"/>
      <c r="I48" s="53" t="s">
        <v>137</v>
      </c>
      <c r="J48" s="89">
        <f>J49+J50</f>
        <v>249775</v>
      </c>
      <c r="K48" s="89">
        <f>K49+K50</f>
        <v>278409</v>
      </c>
      <c r="L48" s="89">
        <f>L49+L50</f>
        <v>299476.1565</v>
      </c>
      <c r="M48" s="125">
        <f>M49+M50</f>
        <v>301607.92895999993</v>
      </c>
      <c r="O48" s="271">
        <f t="shared" si="3"/>
        <v>0.0011737984328395212</v>
      </c>
      <c r="P48" s="240">
        <f t="shared" si="3"/>
        <v>0.0009312066435691592</v>
      </c>
      <c r="Q48" s="240">
        <f t="shared" si="3"/>
        <v>0.0008980664285425129</v>
      </c>
      <c r="R48" s="272">
        <f t="shared" si="3"/>
        <v>0.0011031606356359028</v>
      </c>
    </row>
    <row r="49" spans="1:18" ht="12.75">
      <c r="A49" s="53" t="s">
        <v>50</v>
      </c>
      <c r="B49" s="89">
        <f>(B48/($D$38+$D$39))*$D$38</f>
        <v>332.5</v>
      </c>
      <c r="C49" s="89">
        <f>(C48/($D$38+$D$39))*$D$38</f>
        <v>366.5083333333334</v>
      </c>
      <c r="D49" s="89">
        <f>(D48/($D$38+$D$39))*$D$38</f>
        <v>404.481</v>
      </c>
      <c r="E49" s="125">
        <f>(E48/($D$38+$D$39))*$D$38</f>
        <v>430.50261099999994</v>
      </c>
      <c r="F49" s="113"/>
      <c r="H49" s="233"/>
      <c r="I49" s="53" t="s">
        <v>246</v>
      </c>
      <c r="J49" s="89">
        <f>'Orçamento de Investimento'!B17</f>
        <v>309000</v>
      </c>
      <c r="K49" s="89">
        <f>'Orçamento de Investimento'!C17</f>
        <v>346698</v>
      </c>
      <c r="L49" s="89">
        <f>'Orçamento de Investimento'!D17</f>
        <v>378741.3</v>
      </c>
      <c r="M49" s="125">
        <f>'Orçamento de Investimento'!E17</f>
        <v>393890.95199999993</v>
      </c>
      <c r="O49" s="271">
        <f t="shared" si="3"/>
        <v>0.00033479339745544985</v>
      </c>
      <c r="P49" s="240">
        <f t="shared" si="3"/>
        <v>0.000344424798644567</v>
      </c>
      <c r="Q49" s="240">
        <f t="shared" si="3"/>
        <v>0.00034501755756136603</v>
      </c>
      <c r="R49" s="272">
        <f t="shared" si="3"/>
        <v>0.00041368028177786925</v>
      </c>
    </row>
    <row r="50" spans="1:18" ht="13.5" thickBot="1">
      <c r="A50" s="54" t="s">
        <v>51</v>
      </c>
      <c r="B50" s="89">
        <f>(B48/($D$38+$D$39))*$D$39</f>
        <v>3657.5</v>
      </c>
      <c r="C50" s="89">
        <f>(C48/($D$38+$D$39))*$D$39</f>
        <v>4031.591666666667</v>
      </c>
      <c r="D50" s="89">
        <f>(D48/($D$38+$D$39))*$D$39</f>
        <v>4449.291</v>
      </c>
      <c r="E50" s="125">
        <f>(E48/($D$38+$D$39))*$D$39</f>
        <v>4735.528721</v>
      </c>
      <c r="F50" s="113"/>
      <c r="H50" s="233"/>
      <c r="I50" s="53" t="s">
        <v>247</v>
      </c>
      <c r="J50" s="152">
        <f>-'Orçamento de Investimento'!B29</f>
        <v>-59225</v>
      </c>
      <c r="K50" s="152">
        <f>-'Orçamento de Investimento'!C29</f>
        <v>-68289</v>
      </c>
      <c r="L50" s="152">
        <f>-'Orçamento de Investimento'!D29</f>
        <v>-79265.14349999999</v>
      </c>
      <c r="M50" s="158">
        <f>-'Orçamento de Investimento'!E29</f>
        <v>-92283.02303999999</v>
      </c>
      <c r="O50" s="271">
        <f t="shared" si="3"/>
        <v>0</v>
      </c>
      <c r="P50" s="240">
        <f t="shared" si="3"/>
        <v>0.1131167173324653</v>
      </c>
      <c r="Q50" s="240">
        <f t="shared" si="3"/>
        <v>0.17486523439881463</v>
      </c>
      <c r="R50" s="272">
        <f t="shared" si="3"/>
        <v>0.17427150643269954</v>
      </c>
    </row>
    <row r="51" spans="1:18" ht="13.5" thickBot="1">
      <c r="A51" s="44" t="s">
        <v>101</v>
      </c>
      <c r="B51" s="134">
        <f>0.17*B48</f>
        <v>678.3000000000001</v>
      </c>
      <c r="C51" s="134">
        <f>0.17*C48</f>
        <v>747.6770000000001</v>
      </c>
      <c r="D51" s="134">
        <f>0.17*D48</f>
        <v>825.14124</v>
      </c>
      <c r="E51" s="135">
        <f>0.17*E48</f>
        <v>878.22532644</v>
      </c>
      <c r="F51" s="113"/>
      <c r="H51" s="235"/>
      <c r="I51" s="48" t="s">
        <v>20</v>
      </c>
      <c r="J51" s="70">
        <f>SUM(J43:J48)</f>
        <v>255580.50820895523</v>
      </c>
      <c r="K51" s="70">
        <f>SUM(K43:K48)</f>
        <v>289946.38500981394</v>
      </c>
      <c r="L51" s="70">
        <f>SUM(L43:L48)</f>
        <v>317348.46214275184</v>
      </c>
      <c r="M51" s="166">
        <f>SUM(M43:M48)</f>
        <v>326335.06705257174</v>
      </c>
      <c r="O51" s="271"/>
      <c r="P51" s="240"/>
      <c r="Q51" s="240"/>
      <c r="R51" s="272"/>
    </row>
    <row r="52" spans="1:18" ht="13.5" thickBot="1">
      <c r="A52" s="39" t="s">
        <v>112</v>
      </c>
      <c r="B52" s="96">
        <f>B48-B51</f>
        <v>3311.7</v>
      </c>
      <c r="C52" s="96">
        <f>C48-C51</f>
        <v>3650.4230000000002</v>
      </c>
      <c r="D52" s="96">
        <f>D48-D51</f>
        <v>4028.63076</v>
      </c>
      <c r="E52" s="130">
        <f>E48-E51</f>
        <v>4287.80600556</v>
      </c>
      <c r="H52" s="233" t="s">
        <v>64</v>
      </c>
      <c r="I52" s="53"/>
      <c r="J52" s="73"/>
      <c r="K52" s="73"/>
      <c r="L52" s="73"/>
      <c r="M52" s="77"/>
      <c r="O52" s="271">
        <f aca="true" t="shared" si="4" ref="O52:R53">J58/J$60</f>
        <v>0.9840343528637985</v>
      </c>
      <c r="P52" s="240">
        <f t="shared" si="4"/>
        <v>0.8674017439171983</v>
      </c>
      <c r="Q52" s="240">
        <f t="shared" si="4"/>
        <v>0.7925042343103228</v>
      </c>
      <c r="R52" s="272">
        <f t="shared" si="4"/>
        <v>0.7706802773956376</v>
      </c>
    </row>
    <row r="53" spans="8:18" ht="12.75">
      <c r="H53" s="234"/>
      <c r="I53" s="53" t="s">
        <v>41</v>
      </c>
      <c r="J53" s="89">
        <f>B70</f>
        <v>3657.5</v>
      </c>
      <c r="K53" s="89">
        <f>C70</f>
        <v>7689.091666666667</v>
      </c>
      <c r="L53" s="89">
        <f>D70</f>
        <v>12138.382666666668</v>
      </c>
      <c r="M53" s="125">
        <f>E70</f>
        <v>16873.911387666667</v>
      </c>
      <c r="O53" s="271">
        <f t="shared" si="4"/>
        <v>0.00014649607887133844</v>
      </c>
      <c r="P53" s="240">
        <f t="shared" si="4"/>
        <v>-0.008313104703033758</v>
      </c>
      <c r="Q53" s="240">
        <f t="shared" si="4"/>
        <v>-0.006861935045191028</v>
      </c>
      <c r="R53" s="272">
        <f t="shared" si="4"/>
        <v>0.0018240563317984454</v>
      </c>
    </row>
    <row r="54" spans="8:18" ht="13.5" thickBot="1">
      <c r="H54" s="233"/>
      <c r="I54" s="53" t="s">
        <v>40</v>
      </c>
      <c r="J54" s="89">
        <f>B95</f>
        <v>300</v>
      </c>
      <c r="K54" s="89">
        <f>C95</f>
        <v>270</v>
      </c>
      <c r="L54" s="89">
        <f>D95</f>
        <v>285</v>
      </c>
      <c r="M54" s="125">
        <f>E95</f>
        <v>360</v>
      </c>
      <c r="O54" s="273">
        <v>1</v>
      </c>
      <c r="P54" s="274">
        <v>1</v>
      </c>
      <c r="Q54" s="274">
        <v>1</v>
      </c>
      <c r="R54" s="275">
        <v>1</v>
      </c>
    </row>
    <row r="55" spans="8:13" ht="12.75">
      <c r="H55" s="233"/>
      <c r="I55" s="53" t="s">
        <v>105</v>
      </c>
      <c r="J55" s="89">
        <f>B105</f>
        <v>85.5666666666666</v>
      </c>
      <c r="K55" s="89">
        <f>C105</f>
        <v>99.86472527472527</v>
      </c>
      <c r="L55" s="89">
        <f>D105</f>
        <v>109.49079130434788</v>
      </c>
      <c r="M55" s="125">
        <f>E105</f>
        <v>134.99838249230774</v>
      </c>
    </row>
    <row r="56" spans="8:13" ht="12.75">
      <c r="H56" s="235"/>
      <c r="I56" s="42" t="s">
        <v>65</v>
      </c>
      <c r="J56" s="89">
        <f>J25</f>
        <v>0</v>
      </c>
      <c r="K56" s="89">
        <f>J56+K25</f>
        <v>32797.783274725276</v>
      </c>
      <c r="L56" s="89">
        <f>K56+L25</f>
        <v>55493.21321869565</v>
      </c>
      <c r="M56" s="125">
        <f>L56+M25</f>
        <v>56870.90373706769</v>
      </c>
    </row>
    <row r="57" spans="8:13" ht="12.75">
      <c r="H57" s="233" t="s">
        <v>66</v>
      </c>
      <c r="I57" s="42"/>
      <c r="J57" s="73"/>
      <c r="K57" s="73"/>
      <c r="L57" s="73"/>
      <c r="M57" s="239"/>
    </row>
    <row r="58" spans="8:13" ht="12.75">
      <c r="H58" s="233"/>
      <c r="I58" s="42" t="s">
        <v>138</v>
      </c>
      <c r="J58" s="89">
        <f>$J72+'Orçamento de Investimento'!B10-'Orçamento de Investimento'!B21</f>
        <v>251500</v>
      </c>
      <c r="K58" s="89">
        <f>J58</f>
        <v>251500</v>
      </c>
      <c r="L58" s="89">
        <f>K58</f>
        <v>251500</v>
      </c>
      <c r="M58" s="125">
        <f>L58</f>
        <v>251500</v>
      </c>
    </row>
    <row r="59" spans="8:13" ht="12.75">
      <c r="H59" s="236"/>
      <c r="I59" s="42" t="s">
        <v>67</v>
      </c>
      <c r="J59" s="152">
        <f>J39</f>
        <v>37.441542288555866</v>
      </c>
      <c r="K59" s="152">
        <f>K39+J59</f>
        <v>-2410.354656852721</v>
      </c>
      <c r="L59" s="152">
        <f>L39+K59</f>
        <v>-2177.624533914827</v>
      </c>
      <c r="M59" s="158">
        <f>M39+L59</f>
        <v>595.2535453451137</v>
      </c>
    </row>
    <row r="60" spans="6:13" ht="13.5" thickBot="1">
      <c r="F60" s="19"/>
      <c r="H60" s="237"/>
      <c r="I60" s="50" t="s">
        <v>20</v>
      </c>
      <c r="J60" s="51">
        <f>SUM(J53:J59)</f>
        <v>255580.50820895523</v>
      </c>
      <c r="K60" s="51">
        <f>SUM(K53:K59)</f>
        <v>289946.38500981394</v>
      </c>
      <c r="L60" s="51">
        <f>SUM(L53:L59)</f>
        <v>317348.46214275184</v>
      </c>
      <c r="M60" s="123">
        <f>SUM(M53:M59)</f>
        <v>326335.06705257174</v>
      </c>
    </row>
    <row r="61" spans="1:13" ht="13.5" thickBot="1">
      <c r="A61" s="44" t="s">
        <v>30</v>
      </c>
      <c r="B61" s="45" t="str">
        <f>$B$13</f>
        <v>Trim 1</v>
      </c>
      <c r="C61" s="45" t="str">
        <f>$C$13</f>
        <v>Trim 2</v>
      </c>
      <c r="D61" s="45" t="str">
        <f>$D$13</f>
        <v>Trim 3</v>
      </c>
      <c r="E61" s="118" t="str">
        <f>$E$13</f>
        <v>Trim 4</v>
      </c>
      <c r="F61" s="109"/>
      <c r="J61" s="38">
        <f>J51-J60</f>
        <v>0</v>
      </c>
      <c r="K61" s="38">
        <f>K51-K60</f>
        <v>0</v>
      </c>
      <c r="L61" s="38">
        <f>L51-L60</f>
        <v>0</v>
      </c>
      <c r="M61" s="38">
        <f>M51-M60</f>
        <v>0</v>
      </c>
    </row>
    <row r="62" spans="1:13" ht="12.75">
      <c r="A62" s="46" t="s">
        <v>51</v>
      </c>
      <c r="B62" s="47">
        <f>B50</f>
        <v>3657.5</v>
      </c>
      <c r="C62" s="47">
        <f>C50</f>
        <v>4031.591666666667</v>
      </c>
      <c r="D62" s="47">
        <f>D50</f>
        <v>4449.291</v>
      </c>
      <c r="E62" s="119">
        <f>E50</f>
        <v>4735.528721</v>
      </c>
      <c r="F62" s="19"/>
      <c r="K62" s="18">
        <f>K61-J61</f>
        <v>0</v>
      </c>
      <c r="L62" s="18">
        <f>L61-K61</f>
        <v>0</v>
      </c>
      <c r="M62" s="18">
        <f>M61-L61</f>
        <v>0</v>
      </c>
    </row>
    <row r="63" spans="1:12" ht="12.75">
      <c r="A63" s="48" t="s">
        <v>116</v>
      </c>
      <c r="B63" s="56">
        <f>B26</f>
        <v>90</v>
      </c>
      <c r="C63" s="56">
        <f>C26</f>
        <v>91</v>
      </c>
      <c r="D63" s="56">
        <f>D26</f>
        <v>92</v>
      </c>
      <c r="E63" s="139">
        <f>E26</f>
        <v>91</v>
      </c>
      <c r="F63" s="109"/>
      <c r="J63" s="38"/>
      <c r="K63" s="38"/>
      <c r="L63" s="38"/>
    </row>
    <row r="64" spans="1:6" ht="13.5" thickBot="1">
      <c r="A64" s="48" t="s">
        <v>121</v>
      </c>
      <c r="B64" s="49">
        <f>B62/B63</f>
        <v>40.638888888888886</v>
      </c>
      <c r="C64" s="49">
        <f>C62/C63</f>
        <v>44.303205128205136</v>
      </c>
      <c r="D64" s="49">
        <f>D62/D63</f>
        <v>48.361858695652174</v>
      </c>
      <c r="E64" s="121">
        <f>E62/E63</f>
        <v>52.03877715384615</v>
      </c>
      <c r="F64" s="19"/>
    </row>
    <row r="65" spans="1:12" ht="12.75">
      <c r="A65" s="48" t="s">
        <v>122</v>
      </c>
      <c r="B65" s="69">
        <f>((1+$D$39)*30)/2</f>
        <v>180</v>
      </c>
      <c r="C65" s="69">
        <f>((1+$D$39)*30)/2</f>
        <v>180</v>
      </c>
      <c r="D65" s="69">
        <f>((1+$D$39)*30)/2</f>
        <v>180</v>
      </c>
      <c r="E65" s="122">
        <f>((1+$D$39)*30)/2</f>
        <v>180</v>
      </c>
      <c r="F65" s="109"/>
      <c r="I65" s="61" t="s">
        <v>62</v>
      </c>
      <c r="J65" s="184">
        <v>600</v>
      </c>
      <c r="L65" s="188" t="s">
        <v>156</v>
      </c>
    </row>
    <row r="66" spans="1:12" ht="13.5" thickBot="1">
      <c r="A66" s="50" t="s">
        <v>123</v>
      </c>
      <c r="B66" s="51">
        <f>IF(B63&gt;B65,B64*B65,B62)</f>
        <v>3657.5</v>
      </c>
      <c r="C66" s="51">
        <f>IF(C63&gt;C65,C64*C65,IF(C65&lt;60,C62+B62*(B65-30)/B63,C62+B62))</f>
        <v>7689.091666666667</v>
      </c>
      <c r="D66" s="51">
        <f>IF(D63&gt;D65,D64*D65,IF(D65&lt;60,D62+C62*(C65-30)/C63,IF(D65&lt;90,D62+C62+(D65-60)/D63*B62,D62+C62+B62)))</f>
        <v>12138.382666666668</v>
      </c>
      <c r="E66" s="123">
        <f>IF(E63&gt;E65,E64*E65,IF(E65&lt;60,E62+D62*(D65-30)/D63,IF(E65&lt;90,E62+D62+(E65-60)/C63*C62,IF(E65&lt;120,E62+D62+C62+(E65-90)/B63*B62,E62+D62+C62+B62))))</f>
        <v>16873.911387666667</v>
      </c>
      <c r="F66" s="113"/>
      <c r="I66" s="42" t="s">
        <v>152</v>
      </c>
      <c r="J66" s="185">
        <v>450</v>
      </c>
      <c r="L66" s="187">
        <f>M60/J58-1</f>
        <v>0.2975549385788141</v>
      </c>
    </row>
    <row r="67" spans="1:10" ht="12.75">
      <c r="A67" s="41" t="s">
        <v>31</v>
      </c>
      <c r="B67" s="57">
        <v>200</v>
      </c>
      <c r="C67" s="98">
        <f>B70</f>
        <v>3657.5</v>
      </c>
      <c r="D67" s="98">
        <f>C70</f>
        <v>7689.091666666667</v>
      </c>
      <c r="E67" s="124">
        <f>D70</f>
        <v>12138.382666666668</v>
      </c>
      <c r="F67" s="113"/>
      <c r="I67" s="42" t="s">
        <v>153</v>
      </c>
      <c r="J67" s="185">
        <v>650</v>
      </c>
    </row>
    <row r="68" spans="1:10" ht="12.75">
      <c r="A68" s="42" t="s">
        <v>26</v>
      </c>
      <c r="B68" s="89">
        <f>B62</f>
        <v>3657.5</v>
      </c>
      <c r="C68" s="89">
        <f>C62</f>
        <v>4031.591666666667</v>
      </c>
      <c r="D68" s="89">
        <f>D62</f>
        <v>4449.291</v>
      </c>
      <c r="E68" s="125">
        <f>E62</f>
        <v>4735.528721</v>
      </c>
      <c r="F68" s="115"/>
      <c r="I68" s="42" t="s">
        <v>137</v>
      </c>
      <c r="J68" s="185"/>
    </row>
    <row r="69" spans="1:10" ht="12.75">
      <c r="A69" s="42" t="s">
        <v>32</v>
      </c>
      <c r="B69" s="58">
        <f>B67+B68-B70</f>
        <v>200</v>
      </c>
      <c r="C69" s="138">
        <f>C67+C68-C70</f>
        <v>0</v>
      </c>
      <c r="D69" s="138">
        <f>D67+D68-D70</f>
        <v>0</v>
      </c>
      <c r="E69" s="140">
        <f>E67+E68-E70</f>
        <v>0</v>
      </c>
      <c r="F69" s="114"/>
      <c r="I69" s="42"/>
      <c r="J69" s="77">
        <f>SUM(J65:J68)</f>
        <v>1700</v>
      </c>
    </row>
    <row r="70" spans="1:10" ht="13.5" thickBot="1">
      <c r="A70" s="50" t="s">
        <v>33</v>
      </c>
      <c r="B70" s="51">
        <f>B66</f>
        <v>3657.5</v>
      </c>
      <c r="C70" s="51">
        <f>C66</f>
        <v>7689.091666666667</v>
      </c>
      <c r="D70" s="51">
        <f>D66</f>
        <v>12138.382666666668</v>
      </c>
      <c r="E70" s="123">
        <f>E66</f>
        <v>16873.911387666667</v>
      </c>
      <c r="I70" s="42"/>
      <c r="J70" s="77"/>
    </row>
    <row r="71" spans="2:10" ht="13.5" thickBot="1">
      <c r="B71" s="38"/>
      <c r="F71" s="19"/>
      <c r="I71" s="42" t="s">
        <v>154</v>
      </c>
      <c r="J71" s="185">
        <v>200</v>
      </c>
    </row>
    <row r="72" spans="1:10" ht="13.5" thickBot="1">
      <c r="A72" s="39" t="s">
        <v>18</v>
      </c>
      <c r="B72" s="40" t="str">
        <f>$B$13</f>
        <v>Trim 1</v>
      </c>
      <c r="C72" s="40" t="str">
        <f>$C$13</f>
        <v>Trim 2</v>
      </c>
      <c r="D72" s="40" t="str">
        <f>$D$13</f>
        <v>Trim 3</v>
      </c>
      <c r="E72" s="84" t="str">
        <f>$E$13</f>
        <v>Trim 4</v>
      </c>
      <c r="F72" s="19"/>
      <c r="I72" s="42" t="s">
        <v>155</v>
      </c>
      <c r="J72" s="185">
        <v>1500</v>
      </c>
    </row>
    <row r="73" spans="1:10" ht="12.75">
      <c r="A73" s="59" t="s">
        <v>133</v>
      </c>
      <c r="B73" s="141">
        <f aca="true" t="shared" si="5" ref="B73:E74">B45</f>
        <v>100</v>
      </c>
      <c r="C73" s="141">
        <f t="shared" si="5"/>
        <v>120</v>
      </c>
      <c r="D73" s="141">
        <f t="shared" si="5"/>
        <v>130</v>
      </c>
      <c r="E73" s="142">
        <f t="shared" si="5"/>
        <v>140</v>
      </c>
      <c r="F73" s="19"/>
      <c r="I73" s="63" t="s">
        <v>66</v>
      </c>
      <c r="J73" s="186"/>
    </row>
    <row r="74" spans="1:10" ht="13.5" thickBot="1">
      <c r="A74" s="59" t="s">
        <v>134</v>
      </c>
      <c r="B74" s="56">
        <f t="shared" si="5"/>
        <v>570</v>
      </c>
      <c r="C74" s="56">
        <f t="shared" si="5"/>
        <v>610</v>
      </c>
      <c r="D74" s="56">
        <f t="shared" si="5"/>
        <v>660</v>
      </c>
      <c r="E74" s="139">
        <f t="shared" si="5"/>
        <v>682</v>
      </c>
      <c r="F74" s="19"/>
      <c r="I74" s="64"/>
      <c r="J74" s="183">
        <f>SUM(J71:J73)</f>
        <v>1700</v>
      </c>
    </row>
    <row r="75" spans="1:6" ht="12.75">
      <c r="A75" s="59" t="s">
        <v>135</v>
      </c>
      <c r="B75" s="56">
        <f>B73+B74</f>
        <v>670</v>
      </c>
      <c r="C75" s="56">
        <f>C73+C74</f>
        <v>730</v>
      </c>
      <c r="D75" s="56">
        <f>D73+D74</f>
        <v>790</v>
      </c>
      <c r="E75" s="139">
        <f>E73+E74</f>
        <v>822</v>
      </c>
      <c r="F75" s="113"/>
    </row>
    <row r="76" spans="1:6" ht="12.75">
      <c r="A76" s="41" t="s">
        <v>19</v>
      </c>
      <c r="B76" s="57">
        <v>650</v>
      </c>
      <c r="C76" s="98">
        <f>B83</f>
        <v>709.5582089552239</v>
      </c>
      <c r="D76" s="98">
        <f>C83</f>
        <v>776.435009813944</v>
      </c>
      <c r="E76" s="124">
        <f>D83</f>
        <v>851.5306427518382</v>
      </c>
      <c r="F76" s="113"/>
    </row>
    <row r="77" spans="1:6" ht="12.75">
      <c r="A77" s="42" t="s">
        <v>111</v>
      </c>
      <c r="B77" s="89">
        <f>B52</f>
        <v>3311.7</v>
      </c>
      <c r="C77" s="89">
        <f>C52</f>
        <v>3650.4230000000002</v>
      </c>
      <c r="D77" s="89">
        <f>D52</f>
        <v>4028.63076</v>
      </c>
      <c r="E77" s="125">
        <f>E52</f>
        <v>4287.80600556</v>
      </c>
      <c r="F77" s="113"/>
    </row>
    <row r="78" spans="1:6" ht="12.75">
      <c r="A78" s="42" t="s">
        <v>20</v>
      </c>
      <c r="B78" s="89">
        <f>B76+B77</f>
        <v>3961.7</v>
      </c>
      <c r="C78" s="89">
        <f>C76+C77</f>
        <v>4359.981208955224</v>
      </c>
      <c r="D78" s="89">
        <f>D76+D77</f>
        <v>4805.065769813944</v>
      </c>
      <c r="E78" s="125">
        <f>E76+E77</f>
        <v>5139.336648311838</v>
      </c>
      <c r="F78" s="113"/>
    </row>
    <row r="79" spans="1:6" ht="12.75">
      <c r="A79" s="42" t="s">
        <v>21</v>
      </c>
      <c r="B79" s="89">
        <f>B78/B75</f>
        <v>5.9129850746268655</v>
      </c>
      <c r="C79" s="89">
        <f>C78/C75</f>
        <v>5.9725769985688</v>
      </c>
      <c r="D79" s="89">
        <f>D78/D75</f>
        <v>6.082361733941701</v>
      </c>
      <c r="E79" s="125">
        <f>E78/E75</f>
        <v>6.2522343653428685</v>
      </c>
      <c r="F79" s="107"/>
    </row>
    <row r="80" spans="1:6" ht="12.75">
      <c r="A80" s="42" t="s">
        <v>22</v>
      </c>
      <c r="B80" s="69">
        <f>B14</f>
        <v>550</v>
      </c>
      <c r="C80" s="69">
        <f>C14</f>
        <v>600</v>
      </c>
      <c r="D80" s="69">
        <f>D14</f>
        <v>650</v>
      </c>
      <c r="E80" s="122">
        <f>E14</f>
        <v>700</v>
      </c>
      <c r="F80" s="114"/>
    </row>
    <row r="81" spans="1:6" ht="13.5" thickBot="1">
      <c r="A81" s="50" t="s">
        <v>23</v>
      </c>
      <c r="B81" s="51">
        <f>B79*B80</f>
        <v>3252.1417910447763</v>
      </c>
      <c r="C81" s="51">
        <f>C79*C80</f>
        <v>3583.5461991412803</v>
      </c>
      <c r="D81" s="51">
        <f>D79*D80</f>
        <v>3953.5351270621054</v>
      </c>
      <c r="E81" s="123">
        <f>E79*E80</f>
        <v>4376.564055740008</v>
      </c>
      <c r="F81" s="107"/>
    </row>
    <row r="82" spans="1:6" ht="12.75">
      <c r="A82" s="42" t="s">
        <v>132</v>
      </c>
      <c r="B82" s="69">
        <f>B44</f>
        <v>120</v>
      </c>
      <c r="C82" s="69">
        <f>C44</f>
        <v>130</v>
      </c>
      <c r="D82" s="69">
        <f>D44</f>
        <v>140</v>
      </c>
      <c r="E82" s="122">
        <f>E44</f>
        <v>122</v>
      </c>
      <c r="F82" s="114"/>
    </row>
    <row r="83" spans="1:5" ht="13.5" thickBot="1">
      <c r="A83" s="50" t="s">
        <v>136</v>
      </c>
      <c r="B83" s="51">
        <f>B79*B82</f>
        <v>709.5582089552239</v>
      </c>
      <c r="C83" s="51">
        <f>C79*C82</f>
        <v>776.435009813944</v>
      </c>
      <c r="D83" s="51">
        <f>D79*D82</f>
        <v>851.5306427518382</v>
      </c>
      <c r="E83" s="123">
        <f>E79*E82</f>
        <v>762.7725925718299</v>
      </c>
    </row>
    <row r="84" ht="13.5" thickBot="1">
      <c r="F84" s="143" t="s">
        <v>143</v>
      </c>
    </row>
    <row r="85" spans="1:6" ht="13.5" thickBot="1">
      <c r="A85" s="39" t="s">
        <v>28</v>
      </c>
      <c r="B85" s="40" t="str">
        <f>$B$13</f>
        <v>Trim 1</v>
      </c>
      <c r="C85" s="40" t="str">
        <f>$C$13</f>
        <v>Trim 2</v>
      </c>
      <c r="D85" s="40" t="str">
        <f>$D$13</f>
        <v>Trim 3</v>
      </c>
      <c r="E85" s="84" t="str">
        <f>$E$13</f>
        <v>Trim 4</v>
      </c>
      <c r="F85" s="144">
        <v>0.7</v>
      </c>
    </row>
    <row r="86" spans="1:6" ht="13.5" thickBot="1">
      <c r="A86" s="60" t="s">
        <v>52</v>
      </c>
      <c r="B86" s="161">
        <f>B88*$F$85</f>
        <v>700</v>
      </c>
      <c r="C86" s="161">
        <f>C88*$F$85</f>
        <v>630</v>
      </c>
      <c r="D86" s="161">
        <f>D88*$F$85</f>
        <v>665</v>
      </c>
      <c r="E86" s="162">
        <f>E88*$F$85</f>
        <v>840</v>
      </c>
      <c r="F86" s="145">
        <v>0.3</v>
      </c>
    </row>
    <row r="87" spans="1:6" ht="12.75">
      <c r="A87" s="53" t="s">
        <v>53</v>
      </c>
      <c r="B87" s="89">
        <f>B88*$F$86</f>
        <v>300</v>
      </c>
      <c r="C87" s="89">
        <f>C88*$F$86</f>
        <v>270</v>
      </c>
      <c r="D87" s="89">
        <f>D88*$F$86</f>
        <v>285</v>
      </c>
      <c r="E87" s="89">
        <f>E88*$F$86</f>
        <v>360</v>
      </c>
      <c r="F87" s="116"/>
    </row>
    <row r="88" spans="1:5" ht="13.5" thickBot="1">
      <c r="A88" s="50" t="s">
        <v>29</v>
      </c>
      <c r="B88" s="146">
        <v>1000</v>
      </c>
      <c r="C88" s="146">
        <v>900</v>
      </c>
      <c r="D88" s="146">
        <v>950</v>
      </c>
      <c r="E88" s="147">
        <v>1200</v>
      </c>
    </row>
    <row r="90" ht="13.5" thickBot="1">
      <c r="F90" s="19"/>
    </row>
    <row r="91" spans="1:6" ht="13.5" thickBot="1">
      <c r="A91" s="39" t="s">
        <v>24</v>
      </c>
      <c r="B91" s="40" t="str">
        <f>$B$13</f>
        <v>Trim 1</v>
      </c>
      <c r="C91" s="40" t="str">
        <f>$C$13</f>
        <v>Trim 2</v>
      </c>
      <c r="D91" s="40" t="str">
        <f>$D$13</f>
        <v>Trim 3</v>
      </c>
      <c r="E91" s="84" t="str">
        <f>$E$13</f>
        <v>Trim 4</v>
      </c>
      <c r="F91" s="113"/>
    </row>
    <row r="92" spans="1:6" ht="12.75">
      <c r="A92" s="41" t="s">
        <v>25</v>
      </c>
      <c r="B92" s="57">
        <v>0</v>
      </c>
      <c r="C92" s="98">
        <f>B95</f>
        <v>300</v>
      </c>
      <c r="D92" s="98">
        <f>C95</f>
        <v>270</v>
      </c>
      <c r="E92" s="124">
        <f>D95</f>
        <v>285</v>
      </c>
      <c r="F92" s="113"/>
    </row>
    <row r="93" spans="1:6" ht="12.75">
      <c r="A93" s="42" t="s">
        <v>35</v>
      </c>
      <c r="B93" s="89">
        <f>B87</f>
        <v>300</v>
      </c>
      <c r="C93" s="89">
        <f>C87</f>
        <v>270</v>
      </c>
      <c r="D93" s="89">
        <f>D87</f>
        <v>285</v>
      </c>
      <c r="E93" s="125">
        <f>E87</f>
        <v>360</v>
      </c>
      <c r="F93" s="115"/>
    </row>
    <row r="94" spans="1:6" ht="12.75">
      <c r="A94" s="42" t="s">
        <v>27</v>
      </c>
      <c r="B94" s="136">
        <f>B92</f>
        <v>0</v>
      </c>
      <c r="C94" s="136">
        <f>C92</f>
        <v>300</v>
      </c>
      <c r="D94" s="136">
        <f>D92</f>
        <v>270</v>
      </c>
      <c r="E94" s="137">
        <f>E92</f>
        <v>285</v>
      </c>
      <c r="F94" s="113"/>
    </row>
    <row r="95" spans="1:5" ht="13.5" thickBot="1">
      <c r="A95" s="64" t="s">
        <v>34</v>
      </c>
      <c r="B95" s="149">
        <f>B92+B93-B94</f>
        <v>300</v>
      </c>
      <c r="C95" s="149">
        <f>C92+C93-C94</f>
        <v>270</v>
      </c>
      <c r="D95" s="149">
        <f>D92+D93-D94</f>
        <v>285</v>
      </c>
      <c r="E95" s="150">
        <f>E92+E93-E94</f>
        <v>360</v>
      </c>
    </row>
    <row r="96" ht="13.5" thickBot="1">
      <c r="F96" s="19"/>
    </row>
    <row r="97" spans="1:6" ht="13.5" thickBot="1">
      <c r="A97" s="44" t="s">
        <v>103</v>
      </c>
      <c r="B97" s="45"/>
      <c r="C97" s="45"/>
      <c r="D97" s="45"/>
      <c r="E97" s="118"/>
      <c r="F97" s="113"/>
    </row>
    <row r="98" spans="1:6" ht="12.75">
      <c r="A98" s="61" t="s">
        <v>104</v>
      </c>
      <c r="B98" s="148">
        <f>B20</f>
        <v>934.9999999999999</v>
      </c>
      <c r="C98" s="148">
        <f>C20</f>
        <v>1050.6000000000001</v>
      </c>
      <c r="D98" s="148">
        <f>D20</f>
        <v>1160.9130000000002</v>
      </c>
      <c r="E98" s="156">
        <f>E20</f>
        <v>1287.72042</v>
      </c>
      <c r="F98" s="113"/>
    </row>
    <row r="99" spans="1:6" ht="12.75">
      <c r="A99" s="42" t="s">
        <v>105</v>
      </c>
      <c r="B99" s="89">
        <f>B98</f>
        <v>934.9999999999999</v>
      </c>
      <c r="C99" s="89">
        <f>C98</f>
        <v>1050.6000000000001</v>
      </c>
      <c r="D99" s="89">
        <f>D98</f>
        <v>1160.9130000000002</v>
      </c>
      <c r="E99" s="125">
        <f>E98</f>
        <v>1287.72042</v>
      </c>
      <c r="F99" s="115"/>
    </row>
    <row r="100" spans="1:6" ht="12.75">
      <c r="A100" s="42" t="s">
        <v>106</v>
      </c>
      <c r="B100" s="152">
        <f>B51</f>
        <v>678.3000000000001</v>
      </c>
      <c r="C100" s="152">
        <f>C51</f>
        <v>747.6770000000001</v>
      </c>
      <c r="D100" s="152">
        <f>D51</f>
        <v>825.14124</v>
      </c>
      <c r="E100" s="158">
        <f>E51</f>
        <v>878.22532644</v>
      </c>
      <c r="F100" s="113"/>
    </row>
    <row r="101" spans="1:6" ht="12.75">
      <c r="A101" s="42" t="s">
        <v>107</v>
      </c>
      <c r="B101" s="89">
        <f>B99-B100</f>
        <v>256.6999999999998</v>
      </c>
      <c r="C101" s="89">
        <f>C99-C100</f>
        <v>302.923</v>
      </c>
      <c r="D101" s="89">
        <f>D99-D100</f>
        <v>335.7717600000002</v>
      </c>
      <c r="E101" s="125">
        <f>E99-E100</f>
        <v>409.4950935600001</v>
      </c>
      <c r="F101" s="117"/>
    </row>
    <row r="102" spans="1:6" ht="12.75">
      <c r="A102" s="42" t="s">
        <v>124</v>
      </c>
      <c r="B102" s="62">
        <f>B26</f>
        <v>90</v>
      </c>
      <c r="C102" s="62">
        <f>C26</f>
        <v>91</v>
      </c>
      <c r="D102" s="62">
        <f>D26</f>
        <v>92</v>
      </c>
      <c r="E102" s="159">
        <f>E26</f>
        <v>91</v>
      </c>
      <c r="F102" s="113"/>
    </row>
    <row r="103" spans="1:6" ht="12.75">
      <c r="A103" s="42" t="s">
        <v>125</v>
      </c>
      <c r="B103" s="89">
        <f>B101/B102</f>
        <v>2.85222222222222</v>
      </c>
      <c r="C103" s="89">
        <f>C101/C102</f>
        <v>3.3288241758241757</v>
      </c>
      <c r="D103" s="89">
        <f>D101/D102</f>
        <v>3.649693043478263</v>
      </c>
      <c r="E103" s="125">
        <f>E101/E102</f>
        <v>4.4999460830769245</v>
      </c>
      <c r="F103" s="117"/>
    </row>
    <row r="104" spans="1:6" ht="12.75">
      <c r="A104" s="42" t="s">
        <v>126</v>
      </c>
      <c r="B104" s="151">
        <v>30</v>
      </c>
      <c r="C104" s="62">
        <f>B104</f>
        <v>30</v>
      </c>
      <c r="D104" s="62">
        <f>C104</f>
        <v>30</v>
      </c>
      <c r="E104" s="159">
        <f>D104</f>
        <v>30</v>
      </c>
      <c r="F104" s="113"/>
    </row>
    <row r="105" spans="1:6" ht="13.5" thickBot="1">
      <c r="A105" s="63" t="s">
        <v>127</v>
      </c>
      <c r="B105" s="153">
        <f>B103*B104</f>
        <v>85.5666666666666</v>
      </c>
      <c r="C105" s="153">
        <f>C103*C104</f>
        <v>99.86472527472527</v>
      </c>
      <c r="D105" s="153">
        <f>D103*D104</f>
        <v>109.49079130434788</v>
      </c>
      <c r="E105" s="160">
        <f>E103*E104</f>
        <v>134.99838249230774</v>
      </c>
      <c r="F105" s="113"/>
    </row>
    <row r="106" spans="1:6" ht="12.75">
      <c r="A106" s="61" t="s">
        <v>128</v>
      </c>
      <c r="B106" s="154">
        <v>0</v>
      </c>
      <c r="C106" s="148">
        <f>B108</f>
        <v>85.5666666666666</v>
      </c>
      <c r="D106" s="148">
        <f>C108</f>
        <v>99.86472527472527</v>
      </c>
      <c r="E106" s="156">
        <f>D108</f>
        <v>109.49079130434788</v>
      </c>
      <c r="F106" s="113"/>
    </row>
    <row r="107" spans="1:6" ht="12.75">
      <c r="A107" s="42" t="s">
        <v>129</v>
      </c>
      <c r="B107" s="89">
        <f>B101</f>
        <v>256.6999999999998</v>
      </c>
      <c r="C107" s="89">
        <f>C101</f>
        <v>302.923</v>
      </c>
      <c r="D107" s="89">
        <f>D101</f>
        <v>335.7717600000002</v>
      </c>
      <c r="E107" s="125">
        <f>E101</f>
        <v>409.4950935600001</v>
      </c>
      <c r="F107" s="115"/>
    </row>
    <row r="108" spans="1:6" ht="13.5" thickBot="1">
      <c r="A108" s="64" t="s">
        <v>130</v>
      </c>
      <c r="B108" s="155">
        <f>B105</f>
        <v>85.5666666666666</v>
      </c>
      <c r="C108" s="155">
        <f>C105</f>
        <v>99.86472527472527</v>
      </c>
      <c r="D108" s="155">
        <f>D105</f>
        <v>109.49079130434788</v>
      </c>
      <c r="E108" s="157">
        <f>E105</f>
        <v>134.99838249230774</v>
      </c>
      <c r="F108" s="113"/>
    </row>
    <row r="109" spans="1:5" ht="13.5" thickBot="1">
      <c r="A109" s="65" t="s">
        <v>108</v>
      </c>
      <c r="B109" s="163">
        <f>B107-B108</f>
        <v>171.1333333333332</v>
      </c>
      <c r="C109" s="163">
        <f>C106+C107-C108</f>
        <v>288.6249413919413</v>
      </c>
      <c r="D109" s="163">
        <f>D106+D107-D108</f>
        <v>326.1456939703776</v>
      </c>
      <c r="E109" s="164">
        <f>E106+E107-E108</f>
        <v>383.98750237204024</v>
      </c>
    </row>
  </sheetData>
  <mergeCells count="2">
    <mergeCell ref="O36:R36"/>
    <mergeCell ref="O28:R28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15" sqref="C15"/>
    </sheetView>
  </sheetViews>
  <sheetFormatPr defaultColWidth="9.140625" defaultRowHeight="12.75"/>
  <cols>
    <col min="1" max="1" width="38.140625" style="0" customWidth="1"/>
    <col min="2" max="5" width="9.57421875" style="0" bestFit="1" customWidth="1"/>
    <col min="8" max="8" width="9.57421875" style="0" bestFit="1" customWidth="1"/>
    <col min="9" max="10" width="10.140625" style="0" customWidth="1"/>
    <col min="11" max="11" width="11.140625" style="0" customWidth="1"/>
  </cols>
  <sheetData>
    <row r="1" spans="1:5" ht="13.5" thickBot="1">
      <c r="A1" s="222"/>
      <c r="B1" s="223" t="s">
        <v>72</v>
      </c>
      <c r="C1" s="223" t="s">
        <v>73</v>
      </c>
      <c r="D1" s="223" t="s">
        <v>74</v>
      </c>
      <c r="E1" s="225" t="s">
        <v>75</v>
      </c>
    </row>
    <row r="2" spans="1:5" ht="12.75">
      <c r="A2" s="41" t="s">
        <v>68</v>
      </c>
      <c r="B2" s="287">
        <v>0.03</v>
      </c>
      <c r="C2" s="287">
        <v>0.02</v>
      </c>
      <c r="D2" s="287">
        <v>0.03</v>
      </c>
      <c r="E2" s="288">
        <v>0.04</v>
      </c>
    </row>
    <row r="3" spans="1:5" ht="12.75">
      <c r="A3" s="42" t="s">
        <v>69</v>
      </c>
      <c r="B3" s="22">
        <v>0.035</v>
      </c>
      <c r="C3" s="22">
        <v>0.02</v>
      </c>
      <c r="D3" s="22">
        <v>0.02</v>
      </c>
      <c r="E3" s="23">
        <v>0.03</v>
      </c>
    </row>
    <row r="4" spans="1:5" ht="12.75">
      <c r="A4" s="289" t="s">
        <v>70</v>
      </c>
      <c r="B4" s="290">
        <f>B2</f>
        <v>0.03</v>
      </c>
      <c r="C4" s="290">
        <f>(1+B2)*(1+C2)-1</f>
        <v>0.05059999999999998</v>
      </c>
      <c r="D4" s="290">
        <f>(1+B2)*(1+C2)*(1+D2)-1</f>
        <v>0.08211799999999991</v>
      </c>
      <c r="E4" s="291">
        <f>(1+B2)*(1+C2)*(1+D2)*(1+E2)-1</f>
        <v>0.12540271999999986</v>
      </c>
    </row>
    <row r="5" spans="1:5" ht="13.5" thickBot="1">
      <c r="A5" s="292" t="s">
        <v>71</v>
      </c>
      <c r="B5" s="293">
        <f>B3</f>
        <v>0.035</v>
      </c>
      <c r="C5" s="293">
        <f>(1+B3)*(1+C3)-1</f>
        <v>0.05569999999999986</v>
      </c>
      <c r="D5" s="293">
        <f>(1+B3)*(1+C3)*(1+D3)-1</f>
        <v>0.07681399999999994</v>
      </c>
      <c r="E5" s="294">
        <f>(1+B3)*(1+C3)*(1+D3)*(1+E3)-1</f>
        <v>0.10911841999999994</v>
      </c>
    </row>
    <row r="6" ht="13.5" thickBot="1"/>
    <row r="7" spans="1:5" ht="13.5" thickBot="1">
      <c r="A7" s="25" t="s">
        <v>76</v>
      </c>
      <c r="B7" s="26" t="s">
        <v>72</v>
      </c>
      <c r="C7" s="26" t="s">
        <v>73</v>
      </c>
      <c r="D7" s="26" t="s">
        <v>74</v>
      </c>
      <c r="E7" s="27" t="s">
        <v>75</v>
      </c>
    </row>
    <row r="8" spans="1:5" ht="12.75">
      <c r="A8" s="61" t="s">
        <v>80</v>
      </c>
      <c r="B8" s="154">
        <v>300000</v>
      </c>
      <c r="C8" s="148">
        <f>B10</f>
        <v>300000</v>
      </c>
      <c r="D8" s="148">
        <f>C10</f>
        <v>330000</v>
      </c>
      <c r="E8" s="156">
        <f>D10</f>
        <v>350000</v>
      </c>
    </row>
    <row r="9" spans="1:5" ht="12.75">
      <c r="A9" s="42" t="s">
        <v>78</v>
      </c>
      <c r="B9" s="286"/>
      <c r="C9" s="170">
        <v>30000</v>
      </c>
      <c r="D9" s="170">
        <v>20000</v>
      </c>
      <c r="E9" s="295"/>
    </row>
    <row r="10" spans="1:5" ht="13.5" thickBot="1">
      <c r="A10" s="50" t="s">
        <v>79</v>
      </c>
      <c r="B10" s="51">
        <f>B8+B9</f>
        <v>300000</v>
      </c>
      <c r="C10" s="51">
        <f>C8+C9</f>
        <v>330000</v>
      </c>
      <c r="D10" s="51">
        <f>D8+D9</f>
        <v>350000</v>
      </c>
      <c r="E10" s="123">
        <f>E8+E9</f>
        <v>350000</v>
      </c>
    </row>
    <row r="12" spans="1:8" ht="13.5" thickBot="1">
      <c r="A12" t="s">
        <v>99</v>
      </c>
      <c r="H12" t="s">
        <v>100</v>
      </c>
    </row>
    <row r="13" spans="1:11" ht="13.5" thickBot="1">
      <c r="A13" s="39" t="s">
        <v>77</v>
      </c>
      <c r="B13" s="40" t="s">
        <v>72</v>
      </c>
      <c r="C13" s="40" t="s">
        <v>73</v>
      </c>
      <c r="D13" s="40" t="s">
        <v>74</v>
      </c>
      <c r="E13" s="84" t="s">
        <v>75</v>
      </c>
      <c r="F13" s="17"/>
      <c r="G13" s="17" t="s">
        <v>93</v>
      </c>
      <c r="H13" s="6" t="s">
        <v>72</v>
      </c>
      <c r="I13" s="7" t="s">
        <v>73</v>
      </c>
      <c r="J13" s="7" t="s">
        <v>74</v>
      </c>
      <c r="K13" s="8" t="s">
        <v>75</v>
      </c>
    </row>
    <row r="14" spans="1:11" ht="12.75">
      <c r="A14" s="60" t="s">
        <v>81</v>
      </c>
      <c r="B14" s="98">
        <f>B8</f>
        <v>300000</v>
      </c>
      <c r="C14" s="98">
        <f>B17</f>
        <v>309000</v>
      </c>
      <c r="D14" s="98">
        <f>C17</f>
        <v>346698</v>
      </c>
      <c r="E14" s="124">
        <f>D17</f>
        <v>378741.3</v>
      </c>
      <c r="F14" s="24"/>
      <c r="G14" s="24"/>
      <c r="H14" s="28">
        <f>B14</f>
        <v>300000</v>
      </c>
      <c r="I14" s="9">
        <f>H17</f>
        <v>309000</v>
      </c>
      <c r="J14" s="9">
        <f>I17</f>
        <v>346698</v>
      </c>
      <c r="K14" s="10">
        <f>J17</f>
        <v>378741.3</v>
      </c>
    </row>
    <row r="15" spans="1:11" ht="12.75">
      <c r="A15" s="53" t="s">
        <v>82</v>
      </c>
      <c r="B15" s="89">
        <f>B9*(1+B5)</f>
        <v>0</v>
      </c>
      <c r="C15" s="89">
        <f>C9*(1+C5)</f>
        <v>31670.999999999996</v>
      </c>
      <c r="D15" s="89">
        <f>D9*(1+D5)</f>
        <v>21536.28</v>
      </c>
      <c r="E15" s="125">
        <f>E9*(1+E5)</f>
        <v>0</v>
      </c>
      <c r="F15" s="24"/>
      <c r="G15" s="24"/>
      <c r="H15" s="29">
        <f>B15</f>
        <v>0</v>
      </c>
      <c r="I15" s="2">
        <f>C9</f>
        <v>30000</v>
      </c>
      <c r="J15" s="2">
        <f>D9</f>
        <v>20000</v>
      </c>
      <c r="K15" s="3">
        <f>E15</f>
        <v>0</v>
      </c>
    </row>
    <row r="16" spans="1:11" ht="12.75">
      <c r="A16" s="48" t="s">
        <v>87</v>
      </c>
      <c r="B16" s="49">
        <f>B17-B14-B15</f>
        <v>9000</v>
      </c>
      <c r="C16" s="49">
        <f>C17-C14-C15</f>
        <v>6027.000000000004</v>
      </c>
      <c r="D16" s="49">
        <f>D17-D14-D15</f>
        <v>10507.01999999999</v>
      </c>
      <c r="E16" s="121">
        <f>E17-E14-E15</f>
        <v>15149.651999999944</v>
      </c>
      <c r="F16" s="24"/>
      <c r="G16" s="24"/>
      <c r="H16" s="30">
        <f>H17-H14-H15</f>
        <v>9000</v>
      </c>
      <c r="I16" s="13">
        <f>I17-I14-I15</f>
        <v>7698</v>
      </c>
      <c r="J16" s="13">
        <f>J17-J14-J15</f>
        <v>12043.299999999988</v>
      </c>
      <c r="K16" s="14">
        <f>K17-K14-K15</f>
        <v>15149.651999999944</v>
      </c>
    </row>
    <row r="17" spans="1:11" ht="13.5" thickBot="1">
      <c r="A17" s="50" t="s">
        <v>83</v>
      </c>
      <c r="B17" s="51">
        <f>B10*(1+B4)</f>
        <v>309000</v>
      </c>
      <c r="C17" s="51">
        <f>C10*(1+C4)</f>
        <v>346698</v>
      </c>
      <c r="D17" s="51">
        <f>D10*(1+D4)</f>
        <v>378741.3</v>
      </c>
      <c r="E17" s="123">
        <f>E10*(1+E4)</f>
        <v>393890.95199999993</v>
      </c>
      <c r="F17" s="24"/>
      <c r="G17" s="24"/>
      <c r="H17" s="31">
        <f>B17</f>
        <v>309000</v>
      </c>
      <c r="I17" s="4">
        <f>C17</f>
        <v>346698</v>
      </c>
      <c r="J17" s="4">
        <f>D17</f>
        <v>378741.3</v>
      </c>
      <c r="K17" s="5">
        <f>E17</f>
        <v>393890.95199999993</v>
      </c>
    </row>
    <row r="19" spans="1:2" ht="13.5" thickBot="1">
      <c r="A19" t="s">
        <v>98</v>
      </c>
      <c r="B19" s="21">
        <v>0.1</v>
      </c>
    </row>
    <row r="20" spans="1:5" ht="13.5" thickBot="1">
      <c r="A20" s="44" t="s">
        <v>84</v>
      </c>
      <c r="B20" s="45" t="s">
        <v>72</v>
      </c>
      <c r="C20" s="45" t="s">
        <v>73</v>
      </c>
      <c r="D20" s="45" t="s">
        <v>74</v>
      </c>
      <c r="E20" s="118" t="s">
        <v>75</v>
      </c>
    </row>
    <row r="21" spans="1:5" ht="12.75">
      <c r="A21" s="61" t="s">
        <v>85</v>
      </c>
      <c r="B21" s="282">
        <v>50000</v>
      </c>
      <c r="C21" s="148">
        <f>B23</f>
        <v>57500</v>
      </c>
      <c r="D21" s="148">
        <f>C23</f>
        <v>65000</v>
      </c>
      <c r="E21" s="156">
        <f>D23</f>
        <v>73250</v>
      </c>
    </row>
    <row r="22" spans="1:5" ht="12.75">
      <c r="A22" s="42" t="s">
        <v>96</v>
      </c>
      <c r="B22" s="89">
        <f>B8*B19/4</f>
        <v>7500</v>
      </c>
      <c r="C22" s="89">
        <f>C8*B19/4</f>
        <v>7500</v>
      </c>
      <c r="D22" s="89">
        <f>D8*B19/4</f>
        <v>8250</v>
      </c>
      <c r="E22" s="125">
        <f>E8*B19/4</f>
        <v>8750</v>
      </c>
    </row>
    <row r="23" spans="1:5" ht="13.5" thickBot="1">
      <c r="A23" s="50" t="s">
        <v>86</v>
      </c>
      <c r="B23" s="51">
        <f>B21+B22</f>
        <v>57500</v>
      </c>
      <c r="C23" s="51">
        <f>C21+C22</f>
        <v>65000</v>
      </c>
      <c r="D23" s="51">
        <f>D21+D22</f>
        <v>73250</v>
      </c>
      <c r="E23" s="123">
        <f>E21+E22</f>
        <v>82000</v>
      </c>
    </row>
    <row r="24" ht="13.5" thickBot="1"/>
    <row r="25" spans="1:5" ht="13.5" thickBot="1">
      <c r="A25" s="44" t="s">
        <v>95</v>
      </c>
      <c r="B25" s="45" t="s">
        <v>72</v>
      </c>
      <c r="C25" s="45" t="s">
        <v>73</v>
      </c>
      <c r="D25" s="45" t="s">
        <v>74</v>
      </c>
      <c r="E25" s="118" t="s">
        <v>75</v>
      </c>
    </row>
    <row r="26" spans="1:5" ht="12.75">
      <c r="A26" s="52" t="s">
        <v>85</v>
      </c>
      <c r="B26" s="148">
        <f>B21</f>
        <v>50000</v>
      </c>
      <c r="C26" s="148">
        <f>B29</f>
        <v>59225</v>
      </c>
      <c r="D26" s="148">
        <f>C29</f>
        <v>68289</v>
      </c>
      <c r="E26" s="156">
        <f>D29</f>
        <v>79265.14349999999</v>
      </c>
    </row>
    <row r="27" spans="1:5" ht="12.75">
      <c r="A27" s="53" t="s">
        <v>94</v>
      </c>
      <c r="B27" s="89">
        <f>B22*(1+B5)</f>
        <v>7762.499999999999</v>
      </c>
      <c r="C27" s="89">
        <f>C22*(1+C5)</f>
        <v>7917.749999999999</v>
      </c>
      <c r="D27" s="89">
        <f>D22*(1+D5)</f>
        <v>8883.7155</v>
      </c>
      <c r="E27" s="125">
        <f>E22*(1+E5)</f>
        <v>9704.786175</v>
      </c>
    </row>
    <row r="28" spans="1:5" ht="12.75">
      <c r="A28" s="48" t="s">
        <v>88</v>
      </c>
      <c r="B28" s="49">
        <f>B29-B26-B27</f>
        <v>1462.500000000001</v>
      </c>
      <c r="C28" s="49">
        <f>C29-C26-C27</f>
        <v>1146.250000000001</v>
      </c>
      <c r="D28" s="49">
        <f>D29-D26-D27</f>
        <v>2092.427999999991</v>
      </c>
      <c r="E28" s="121">
        <f>E29-E26-E27</f>
        <v>3313.093364999995</v>
      </c>
    </row>
    <row r="29" spans="1:5" ht="13.5" thickBot="1">
      <c r="A29" s="296" t="s">
        <v>97</v>
      </c>
      <c r="B29" s="51">
        <f>B23*(1+B4)</f>
        <v>59225</v>
      </c>
      <c r="C29" s="51">
        <f>C23*(1+C4)</f>
        <v>68289</v>
      </c>
      <c r="D29" s="51">
        <f>D23*(1+D4)</f>
        <v>79265.14349999999</v>
      </c>
      <c r="E29" s="123">
        <f>E23*(1+E4)</f>
        <v>92283.02303999999</v>
      </c>
    </row>
    <row r="30" spans="1:5" ht="12.75">
      <c r="A30" s="20"/>
      <c r="B30" s="37"/>
      <c r="C30" s="37"/>
      <c r="D30" s="37"/>
      <c r="E30" s="37"/>
    </row>
    <row r="31" spans="1:8" ht="13.5" thickBot="1">
      <c r="A31" t="s">
        <v>99</v>
      </c>
      <c r="H31" t="s">
        <v>100</v>
      </c>
    </row>
    <row r="32" spans="1:11" ht="13.5" thickBot="1">
      <c r="A32" s="39" t="s">
        <v>89</v>
      </c>
      <c r="B32" s="40" t="s">
        <v>72</v>
      </c>
      <c r="C32" s="40" t="s">
        <v>73</v>
      </c>
      <c r="D32" s="40" t="s">
        <v>74</v>
      </c>
      <c r="E32" s="84" t="s">
        <v>75</v>
      </c>
      <c r="G32" s="19" t="s">
        <v>93</v>
      </c>
      <c r="H32" s="6" t="s">
        <v>72</v>
      </c>
      <c r="I32" s="7" t="s">
        <v>73</v>
      </c>
      <c r="J32" s="7" t="s">
        <v>74</v>
      </c>
      <c r="K32" s="8" t="s">
        <v>75</v>
      </c>
    </row>
    <row r="33" spans="1:11" ht="12.75">
      <c r="A33" s="60" t="s">
        <v>90</v>
      </c>
      <c r="B33" s="169">
        <f>B16</f>
        <v>9000</v>
      </c>
      <c r="C33" s="169">
        <f>C16</f>
        <v>6027.000000000004</v>
      </c>
      <c r="D33" s="169">
        <f>D16</f>
        <v>10507.01999999999</v>
      </c>
      <c r="E33" s="232">
        <f>E16</f>
        <v>15149.651999999944</v>
      </c>
      <c r="H33" s="36">
        <f>H16</f>
        <v>9000</v>
      </c>
      <c r="I33" s="32">
        <f>I16</f>
        <v>7698</v>
      </c>
      <c r="J33" s="32">
        <f>J16</f>
        <v>12043.299999999988</v>
      </c>
      <c r="K33" s="33">
        <f>K16</f>
        <v>15149.651999999944</v>
      </c>
    </row>
    <row r="34" spans="1:11" ht="12.75">
      <c r="A34" s="53" t="s">
        <v>91</v>
      </c>
      <c r="B34" s="152">
        <f>-B28</f>
        <v>-1462.500000000001</v>
      </c>
      <c r="C34" s="152">
        <f>-C28</f>
        <v>-1146.250000000001</v>
      </c>
      <c r="D34" s="152">
        <f>-D28</f>
        <v>-2092.427999999991</v>
      </c>
      <c r="E34" s="158">
        <f>-E28</f>
        <v>-3313.093364999995</v>
      </c>
      <c r="H34" s="34">
        <f>B34</f>
        <v>-1462.500000000001</v>
      </c>
      <c r="I34" s="11">
        <f>C34</f>
        <v>-1146.250000000001</v>
      </c>
      <c r="J34" s="11">
        <f>D34</f>
        <v>-2092.427999999991</v>
      </c>
      <c r="K34" s="12">
        <f>E34</f>
        <v>-3313.093364999995</v>
      </c>
    </row>
    <row r="35" spans="1:11" ht="13.5" thickBot="1">
      <c r="A35" s="50" t="s">
        <v>92</v>
      </c>
      <c r="B35" s="71">
        <f>B33+B34</f>
        <v>7537.499999999999</v>
      </c>
      <c r="C35" s="71">
        <f>C33+C34</f>
        <v>4880.750000000003</v>
      </c>
      <c r="D35" s="71">
        <f>D33+D34</f>
        <v>8414.591999999999</v>
      </c>
      <c r="E35" s="168">
        <f>E33+E34</f>
        <v>11836.558634999948</v>
      </c>
      <c r="F35" s="17"/>
      <c r="G35" s="17"/>
      <c r="H35" s="35">
        <f>H33+H34</f>
        <v>7537.499999999999</v>
      </c>
      <c r="I35" s="15">
        <f>I33+I34</f>
        <v>6551.749999999999</v>
      </c>
      <c r="J35" s="15">
        <f>J33+J34</f>
        <v>9950.871999999998</v>
      </c>
      <c r="K35" s="16">
        <f>K33+K34</f>
        <v>11836.558634999948</v>
      </c>
    </row>
  </sheetData>
  <printOptions/>
  <pageMargins left="0.75" right="0.75" top="1" bottom="1" header="0.492125985" footer="0.49212598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2"/>
  <sheetViews>
    <sheetView workbookViewId="0" topLeftCell="D1">
      <selection activeCell="M34" sqref="M34"/>
    </sheetView>
  </sheetViews>
  <sheetFormatPr defaultColWidth="9.140625" defaultRowHeight="12.75"/>
  <cols>
    <col min="1" max="1" width="31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7.57421875" style="0" customWidth="1"/>
    <col min="16" max="16" width="13.8515625" style="0" customWidth="1"/>
    <col min="17" max="17" width="10.140625" style="0" customWidth="1"/>
    <col min="18" max="18" width="10.8515625" style="0" customWidth="1"/>
    <col min="19" max="19" width="10.421875" style="0" customWidth="1"/>
    <col min="21" max="22" width="9.28125" style="0" customWidth="1"/>
    <col min="25" max="25" width="15.8515625" style="0" customWidth="1"/>
  </cols>
  <sheetData>
    <row r="1" spans="1:32" ht="13.5" thickBot="1">
      <c r="A1" s="61" t="s">
        <v>142</v>
      </c>
      <c r="B1" s="88">
        <v>10</v>
      </c>
      <c r="C1" s="75"/>
      <c r="D1" s="75" t="s">
        <v>143</v>
      </c>
      <c r="E1" s="76"/>
      <c r="F1" s="101"/>
      <c r="H1" s="226" t="s">
        <v>36</v>
      </c>
      <c r="I1" s="61"/>
      <c r="J1" s="81" t="str">
        <f>$B$6</f>
        <v>Trim 1</v>
      </c>
      <c r="K1" s="81" t="str">
        <f>$C$6</f>
        <v>Trim 2</v>
      </c>
      <c r="L1" s="81" t="str">
        <f>$D$6</f>
        <v>Trim 3</v>
      </c>
      <c r="M1" s="82" t="str">
        <f>$E$6</f>
        <v>Trim 4</v>
      </c>
      <c r="O1" s="39" t="s">
        <v>243</v>
      </c>
      <c r="P1" s="225"/>
      <c r="Q1" s="252" t="str">
        <f>J1</f>
        <v>Trim 1</v>
      </c>
      <c r="R1" s="223" t="str">
        <f>K1</f>
        <v>Trim 2</v>
      </c>
      <c r="S1" s="223" t="str">
        <f>L1</f>
        <v>Trim 3</v>
      </c>
      <c r="T1" s="224" t="str">
        <f>M1</f>
        <v>Trim 4</v>
      </c>
      <c r="U1" s="222" t="str">
        <f aca="true" t="shared" si="0" ref="U1:AF1">Q1</f>
        <v>Trim 1</v>
      </c>
      <c r="V1" s="223" t="str">
        <f t="shared" si="0"/>
        <v>Trim 2</v>
      </c>
      <c r="W1" s="223" t="str">
        <f t="shared" si="0"/>
        <v>Trim 3</v>
      </c>
      <c r="X1" s="225" t="str">
        <f t="shared" si="0"/>
        <v>Trim 4</v>
      </c>
      <c r="Y1" s="222" t="str">
        <f t="shared" si="0"/>
        <v>Trim 1</v>
      </c>
      <c r="Z1" s="223" t="str">
        <f t="shared" si="0"/>
        <v>Trim 2</v>
      </c>
      <c r="AA1" s="223" t="str">
        <f t="shared" si="0"/>
        <v>Trim 3</v>
      </c>
      <c r="AB1" s="225" t="str">
        <f t="shared" si="0"/>
        <v>Trim 4</v>
      </c>
      <c r="AC1" s="222" t="str">
        <f t="shared" si="0"/>
        <v>Trim 1</v>
      </c>
      <c r="AD1" s="223" t="str">
        <f t="shared" si="0"/>
        <v>Trim 2</v>
      </c>
      <c r="AE1" s="223" t="str">
        <f t="shared" si="0"/>
        <v>Trim 3</v>
      </c>
      <c r="AF1" s="225" t="str">
        <f t="shared" si="0"/>
        <v>Trim 4</v>
      </c>
    </row>
    <row r="2" spans="1:32" ht="13.5" thickBot="1">
      <c r="A2" s="42" t="s">
        <v>5</v>
      </c>
      <c r="B2" s="89">
        <f>($B$1/($D$2+$D$3))*D2</f>
        <v>2.5</v>
      </c>
      <c r="C2" s="67"/>
      <c r="D2" s="86">
        <v>1</v>
      </c>
      <c r="E2" s="87"/>
      <c r="F2" s="102"/>
      <c r="H2" s="227" t="s">
        <v>37</v>
      </c>
      <c r="I2" s="41"/>
      <c r="J2" s="66"/>
      <c r="K2" s="66"/>
      <c r="L2" s="66"/>
      <c r="M2" s="83"/>
      <c r="O2" s="313"/>
      <c r="P2" s="312"/>
      <c r="Q2" s="658" t="s">
        <v>250</v>
      </c>
      <c r="R2" s="657"/>
      <c r="S2" s="657"/>
      <c r="T2" s="659"/>
      <c r="U2" s="658" t="s">
        <v>251</v>
      </c>
      <c r="V2" s="657"/>
      <c r="W2" s="657"/>
      <c r="X2" s="659"/>
      <c r="Y2" s="658" t="s">
        <v>253</v>
      </c>
      <c r="Z2" s="657"/>
      <c r="AA2" s="657"/>
      <c r="AB2" s="659"/>
      <c r="AC2" s="660" t="s">
        <v>252</v>
      </c>
      <c r="AD2" s="661"/>
      <c r="AE2" s="661"/>
      <c r="AF2" s="662"/>
    </row>
    <row r="3" spans="1:32" ht="12.75">
      <c r="A3" s="42" t="s">
        <v>6</v>
      </c>
      <c r="B3" s="89">
        <f>($B$1/($D$2+$D$3))*D3</f>
        <v>7.5</v>
      </c>
      <c r="C3" s="67"/>
      <c r="D3" s="55">
        <v>3</v>
      </c>
      <c r="E3" s="78"/>
      <c r="F3" s="103"/>
      <c r="H3" s="228"/>
      <c r="I3" s="42" t="s">
        <v>1</v>
      </c>
      <c r="J3" s="172">
        <f>B10</f>
        <v>1375</v>
      </c>
      <c r="K3" s="172">
        <f>C10</f>
        <v>1522.5</v>
      </c>
      <c r="L3" s="172">
        <f>D10</f>
        <v>1674.1156250000001</v>
      </c>
      <c r="M3" s="173">
        <f>E10</f>
        <v>1829.9371562500003</v>
      </c>
      <c r="O3" s="257" t="s">
        <v>156</v>
      </c>
      <c r="P3" s="46" t="s">
        <v>157</v>
      </c>
      <c r="Q3" s="191">
        <f>(((J36+J55)/2)/-J25)*O10</f>
        <v>18.812254610624</v>
      </c>
      <c r="R3" s="191">
        <f>(((K36+J36)/2)/-K25)*O10</f>
        <v>18.77018532596587</v>
      </c>
      <c r="S3" s="191">
        <f>(((L36+K36)/2)/-L25)*O10</f>
        <v>18.584204358606872</v>
      </c>
      <c r="T3" s="192">
        <f>(((M36+L36)/2)/-M25)*O10</f>
        <v>16.71476763471149</v>
      </c>
      <c r="U3" s="213">
        <f>-J25/J23*Q3</f>
        <v>11.123658073270017</v>
      </c>
      <c r="V3" s="191">
        <f>-K25/K23*R3</f>
        <v>10.91029139653309</v>
      </c>
      <c r="W3" s="191">
        <f>-L25/L23*S3</f>
        <v>10.771937428472395</v>
      </c>
      <c r="X3" s="192">
        <f>-M25/M23*T3</f>
        <v>9.682990564384522</v>
      </c>
      <c r="Y3" s="213">
        <f>((J36)/-J25)*$O10</f>
        <v>19.636363636363637</v>
      </c>
      <c r="Z3" s="191">
        <f>((K36)/-K25)*$O10</f>
        <v>19.5</v>
      </c>
      <c r="AA3" s="191">
        <f>((L36)/-L25)*$O10</f>
        <v>19.384615384615387</v>
      </c>
      <c r="AB3" s="306">
        <f>((M36)/-M25)*$O10</f>
        <v>15.685714285714287</v>
      </c>
      <c r="AC3" s="213">
        <f>-J25/J23*Y3</f>
        <v>11.610952510176393</v>
      </c>
      <c r="AD3" s="191">
        <f>-K25/K23*Z3</f>
        <v>11.334500887323957</v>
      </c>
      <c r="AE3" s="191">
        <f>-L25/L23*AA3</f>
        <v>11.235878597157942</v>
      </c>
      <c r="AF3" s="192">
        <f>-M25/M23*AB3</f>
        <v>9.086852222150236</v>
      </c>
    </row>
    <row r="4" spans="1:32" ht="13.5" thickBot="1">
      <c r="A4" s="64" t="s">
        <v>3</v>
      </c>
      <c r="B4" s="90">
        <v>0.015</v>
      </c>
      <c r="C4" s="91">
        <v>0.015</v>
      </c>
      <c r="D4" s="91">
        <v>0.015</v>
      </c>
      <c r="E4" s="92">
        <v>0.015</v>
      </c>
      <c r="F4" s="104"/>
      <c r="H4" s="228"/>
      <c r="I4" s="42" t="s">
        <v>139</v>
      </c>
      <c r="J4" s="172">
        <f>B26</f>
        <v>1783.75</v>
      </c>
      <c r="K4" s="172">
        <f>C26</f>
        <v>4260.286538461539</v>
      </c>
      <c r="L4" s="172">
        <f>D26</f>
        <v>4708.218253658027</v>
      </c>
      <c r="M4" s="173">
        <f>E26</f>
        <v>5090.701054731397</v>
      </c>
      <c r="O4" s="258">
        <f>L54</f>
        <v>2.263513080046009</v>
      </c>
      <c r="P4" s="48" t="s">
        <v>159</v>
      </c>
      <c r="Q4" s="68">
        <f>(((J35+J54)/2)/B18)*O10</f>
        <v>34.90909090909091</v>
      </c>
      <c r="R4" s="68">
        <f>(((K35+J35)/2)/C18)*O10</f>
        <v>56.76392572944297</v>
      </c>
      <c r="S4" s="68">
        <f>(((L35+K35)/2)/D18)*O10</f>
        <v>56.331073987218446</v>
      </c>
      <c r="T4" s="165">
        <f>(((M35+L35)/2)/E18)*O10</f>
        <v>56.519150158044994</v>
      </c>
      <c r="U4" s="214">
        <f>B18/J23*Q4</f>
        <v>26.18181818181818</v>
      </c>
      <c r="V4" s="68">
        <f>C18/K23*R4</f>
        <v>42.57294429708222</v>
      </c>
      <c r="W4" s="68">
        <f>D18/L23*S4</f>
        <v>42.248305490413834</v>
      </c>
      <c r="X4" s="165">
        <f>E18/M23*T4</f>
        <v>42.389362618533745</v>
      </c>
      <c r="Y4" s="214">
        <f>((J35)/B18)*$O10</f>
        <v>60</v>
      </c>
      <c r="Z4" s="68">
        <f>((K35)/C18)*$O10</f>
        <v>59.34065934065934</v>
      </c>
      <c r="AA4" s="68">
        <f>((L35)/D18)*$O10</f>
        <v>58.69565217391305</v>
      </c>
      <c r="AB4" s="307">
        <f>((M35)/E18)*$O10</f>
        <v>59.34065934065934</v>
      </c>
      <c r="AC4" s="214">
        <f>B18/J23*Y4</f>
        <v>45</v>
      </c>
      <c r="AD4" s="68">
        <f>C18/K23*Z4</f>
        <v>44.50549450549451</v>
      </c>
      <c r="AE4" s="68">
        <f>D18/L23*AA4</f>
        <v>44.02173913043478</v>
      </c>
      <c r="AF4" s="165">
        <f>E18/M23*AB4</f>
        <v>44.50549450549451</v>
      </c>
    </row>
    <row r="5" spans="2:32" ht="13.5" thickBot="1">
      <c r="B5" s="1"/>
      <c r="H5" s="229" t="s">
        <v>20</v>
      </c>
      <c r="I5" s="48"/>
      <c r="J5" s="49">
        <f>J3+J4</f>
        <v>3158.75</v>
      </c>
      <c r="K5" s="49">
        <f>K3+K4</f>
        <v>5782.786538461539</v>
      </c>
      <c r="L5" s="49">
        <f>L3+L4</f>
        <v>6382.333878658027</v>
      </c>
      <c r="M5" s="121">
        <f>M3+M4</f>
        <v>6920.638210981397</v>
      </c>
      <c r="O5" s="229" t="s">
        <v>167</v>
      </c>
      <c r="P5" s="48" t="s">
        <v>158</v>
      </c>
      <c r="Q5" s="68">
        <f>(((J59+J41)/2)/B41)*O10</f>
        <v>9.75563909774436</v>
      </c>
      <c r="R5" s="68">
        <f>(((J41+K41)/2)/C41)*O10</f>
        <v>14.322209729219338</v>
      </c>
      <c r="S5" s="68">
        <f>(((K41+L41)/2)/D41)*O10</f>
        <v>14.091285936167068</v>
      </c>
      <c r="T5" s="165">
        <f>(((L41+M41)/2)/E41)*O10</f>
        <v>14.412932668724126</v>
      </c>
      <c r="U5" s="214">
        <f>B41/J23*Q5</f>
        <v>7.077272727272727</v>
      </c>
      <c r="V5" s="68">
        <f>C41/K23*R5</f>
        <v>10.192639257294429</v>
      </c>
      <c r="W5" s="68">
        <f>D41/L23*S5</f>
        <v>10.015652465398746</v>
      </c>
      <c r="X5" s="165">
        <f>E41/M23*T5</f>
        <v>9.829620080069853</v>
      </c>
      <c r="Y5" s="214">
        <f>((J41)/B41)*$O10</f>
        <v>15</v>
      </c>
      <c r="Z5" s="68">
        <f>((K41)/C41)*$O10</f>
        <v>14.835164835164836</v>
      </c>
      <c r="AA5" s="68">
        <f>((L41)/D41)*$O10</f>
        <v>14.673913043478262</v>
      </c>
      <c r="AB5" s="307">
        <f>((M41)/E41)*$O10</f>
        <v>14.835164835164836</v>
      </c>
      <c r="AC5" s="214">
        <f>SUM(J41:J43)/J23*$O10</f>
        <v>17.191090909090907</v>
      </c>
      <c r="AD5" s="68">
        <f>SUM(K41:K43)/K23*$O10</f>
        <v>16.0021807502842</v>
      </c>
      <c r="AE5" s="68">
        <f>SUM(L41:L43)/L23*$O10</f>
        <v>15.703156512470771</v>
      </c>
      <c r="AF5" s="165">
        <f>SUM(M41:M43)/M23*$O10</f>
        <v>16.147941953447468</v>
      </c>
    </row>
    <row r="6" spans="1:32" ht="13.5" thickBot="1">
      <c r="A6" s="39" t="s">
        <v>0</v>
      </c>
      <c r="B6" s="85" t="s">
        <v>144</v>
      </c>
      <c r="C6" s="85" t="s">
        <v>145</v>
      </c>
      <c r="D6" s="85" t="s">
        <v>146</v>
      </c>
      <c r="E6" s="126" t="s">
        <v>147</v>
      </c>
      <c r="F6" s="106"/>
      <c r="H6" s="228" t="s">
        <v>39</v>
      </c>
      <c r="I6" s="42"/>
      <c r="J6" s="68"/>
      <c r="K6" s="68"/>
      <c r="L6" s="68"/>
      <c r="M6" s="165"/>
      <c r="O6" s="300">
        <v>0.035</v>
      </c>
      <c r="P6" s="211" t="s">
        <v>160</v>
      </c>
      <c r="Q6" s="177">
        <f aca="true" t="shared" si="1" ref="Q6:X6">Q3+Q4-Q5</f>
        <v>43.96570642197054</v>
      </c>
      <c r="R6" s="177">
        <f t="shared" si="1"/>
        <v>61.21190132618949</v>
      </c>
      <c r="S6" s="177">
        <f t="shared" si="1"/>
        <v>60.823992409658246</v>
      </c>
      <c r="T6" s="178">
        <f t="shared" si="1"/>
        <v>58.82098512403236</v>
      </c>
      <c r="U6" s="179">
        <f t="shared" si="1"/>
        <v>30.228203527815467</v>
      </c>
      <c r="V6" s="177">
        <f t="shared" si="1"/>
        <v>43.29059643632088</v>
      </c>
      <c r="W6" s="177">
        <f t="shared" si="1"/>
        <v>43.00459045348748</v>
      </c>
      <c r="X6" s="178">
        <f t="shared" si="1"/>
        <v>42.24273310284841</v>
      </c>
      <c r="Y6" s="179">
        <f aca="true" t="shared" si="2" ref="Y6:AF6">Y3+Y4-Y5</f>
        <v>64.63636363636364</v>
      </c>
      <c r="Z6" s="177">
        <f t="shared" si="2"/>
        <v>64.00549450549451</v>
      </c>
      <c r="AA6" s="177">
        <f t="shared" si="2"/>
        <v>63.40635451505017</v>
      </c>
      <c r="AB6" s="308">
        <f t="shared" si="2"/>
        <v>60.191208791208794</v>
      </c>
      <c r="AC6" s="179">
        <f t="shared" si="2"/>
        <v>39.419861601085486</v>
      </c>
      <c r="AD6" s="177">
        <f t="shared" si="2"/>
        <v>39.83781464253427</v>
      </c>
      <c r="AE6" s="177">
        <f t="shared" si="2"/>
        <v>39.554461215121954</v>
      </c>
      <c r="AF6" s="178">
        <f t="shared" si="2"/>
        <v>37.44440477419728</v>
      </c>
    </row>
    <row r="7" spans="1:32" ht="12.75">
      <c r="A7" s="41" t="s">
        <v>141</v>
      </c>
      <c r="B7" s="93">
        <v>550</v>
      </c>
      <c r="C7" s="93">
        <v>600</v>
      </c>
      <c r="D7" s="93">
        <v>650</v>
      </c>
      <c r="E7" s="127">
        <v>700</v>
      </c>
      <c r="F7" s="107"/>
      <c r="H7" s="228"/>
      <c r="I7" s="42" t="s">
        <v>49</v>
      </c>
      <c r="J7" s="174">
        <f>B79</f>
        <v>700</v>
      </c>
      <c r="K7" s="174">
        <f>C79</f>
        <v>630</v>
      </c>
      <c r="L7" s="174">
        <f>D79</f>
        <v>665</v>
      </c>
      <c r="M7" s="175">
        <f>E79</f>
        <v>840</v>
      </c>
      <c r="O7" s="229" t="s">
        <v>168</v>
      </c>
      <c r="P7" s="211" t="s">
        <v>161</v>
      </c>
      <c r="Q7" s="177">
        <f>O10/Q6</f>
        <v>2.047050015214249</v>
      </c>
      <c r="R7" s="177">
        <f>O10/R6</f>
        <v>1.4703023113169258</v>
      </c>
      <c r="S7" s="177">
        <f>O10/S6</f>
        <v>1.4796792587016845</v>
      </c>
      <c r="T7" s="178">
        <f>O10/T6</f>
        <v>1.5300661797863855</v>
      </c>
      <c r="U7" s="179">
        <f>$O$10/U6</f>
        <v>2.9773519262295416</v>
      </c>
      <c r="V7" s="177">
        <f>$O$10/V6</f>
        <v>2.0789734355447655</v>
      </c>
      <c r="W7" s="177">
        <f>$O$10/W6</f>
        <v>2.0927998395273963</v>
      </c>
      <c r="X7" s="178">
        <f>$O$10/X6</f>
        <v>2.1305439631682197</v>
      </c>
      <c r="Y7" s="179">
        <f>$O10/Y6</f>
        <v>1.3924050632911391</v>
      </c>
      <c r="Z7" s="177">
        <f>$O10/Z6</f>
        <v>1.406129281483389</v>
      </c>
      <c r="AA7" s="177">
        <f>$O10/AA6</f>
        <v>1.419416093045336</v>
      </c>
      <c r="AB7" s="308">
        <f>$O10/AB6</f>
        <v>1.4952349654945776</v>
      </c>
      <c r="AC7" s="179">
        <f>$O$10/AC6</f>
        <v>2.283113038568398</v>
      </c>
      <c r="AD7" s="177">
        <f>$O$10/AD6</f>
        <v>2.2591600670762766</v>
      </c>
      <c r="AE7" s="177">
        <f>$O$10/AE6</f>
        <v>2.2753438483341637</v>
      </c>
      <c r="AF7" s="178">
        <f>$O$10/AF6</f>
        <v>2.403563377298455</v>
      </c>
    </row>
    <row r="8" spans="1:32" ht="13.5" thickBot="1">
      <c r="A8" s="42" t="s">
        <v>4</v>
      </c>
      <c r="B8" s="89">
        <f>B1</f>
        <v>10</v>
      </c>
      <c r="C8" s="89">
        <f>B8+B8*B4</f>
        <v>10.15</v>
      </c>
      <c r="D8" s="89">
        <f>C8+C8*C4</f>
        <v>10.30225</v>
      </c>
      <c r="E8" s="125">
        <f>D8+D8*D4</f>
        <v>10.456783750000001</v>
      </c>
      <c r="F8" s="108"/>
      <c r="H8" s="228"/>
      <c r="I8" s="42" t="s">
        <v>170</v>
      </c>
      <c r="J8" s="174">
        <f>B87</f>
        <v>0</v>
      </c>
      <c r="K8" s="174">
        <f>C87</f>
        <v>300</v>
      </c>
      <c r="L8" s="174">
        <f>D87</f>
        <v>270</v>
      </c>
      <c r="M8" s="175">
        <f>E87</f>
        <v>285</v>
      </c>
      <c r="N8" s="38"/>
      <c r="O8" s="301">
        <v>18</v>
      </c>
      <c r="P8" s="250" t="s">
        <v>162</v>
      </c>
      <c r="Q8" s="172">
        <f>J12/Q7</f>
        <v>2147.545639168579</v>
      </c>
      <c r="R8" s="172">
        <f>K12/R7</f>
        <v>3740.9408211913196</v>
      </c>
      <c r="S8" s="172">
        <f>L12/S7</f>
        <v>4023.3841654903686</v>
      </c>
      <c r="T8" s="173">
        <f>M12/T7</f>
        <v>4210.830195379696</v>
      </c>
      <c r="U8" s="215">
        <f>J23/U7</f>
        <v>1847.2791044776118</v>
      </c>
      <c r="V8" s="216">
        <f>K23/V7</f>
        <v>2929.330358857713</v>
      </c>
      <c r="W8" s="216">
        <f>L23/W7</f>
        <v>3199.7625255515213</v>
      </c>
      <c r="X8" s="217">
        <f>M23/X7</f>
        <v>3435.6243060646298</v>
      </c>
      <c r="Y8" s="309">
        <f>J12/Y7</f>
        <v>3157.2230303030306</v>
      </c>
      <c r="Z8" s="310">
        <f>K12/Z7</f>
        <v>3911.6701489175357</v>
      </c>
      <c r="AA8" s="310">
        <f>L12/AA7</f>
        <v>4194.202199505946</v>
      </c>
      <c r="AB8" s="314">
        <f>M12/AB7</f>
        <v>4308.920684343866</v>
      </c>
      <c r="AC8" s="309">
        <f>J12/AC7</f>
        <v>1925.4996397768734</v>
      </c>
      <c r="AD8" s="310">
        <f>K12/AD7</f>
        <v>2434.672078378113</v>
      </c>
      <c r="AE8" s="310">
        <f>L12/AE7</f>
        <v>2616.447665184081</v>
      </c>
      <c r="AF8" s="311">
        <f>M12/AF7</f>
        <v>2680.540455735922</v>
      </c>
    </row>
    <row r="9" spans="1:29" ht="12.75">
      <c r="A9" s="43" t="s">
        <v>2</v>
      </c>
      <c r="B9" s="94">
        <f>B7*B8</f>
        <v>5500</v>
      </c>
      <c r="C9" s="94">
        <f>C7*C8</f>
        <v>6090</v>
      </c>
      <c r="D9" s="94">
        <f>D7*D8</f>
        <v>6696.462500000001</v>
      </c>
      <c r="E9" s="128">
        <f>E7*E8</f>
        <v>7319.748625000001</v>
      </c>
      <c r="F9" s="109"/>
      <c r="H9" s="228"/>
      <c r="I9" s="42" t="s">
        <v>50</v>
      </c>
      <c r="J9" s="174">
        <f>B42</f>
        <v>1995</v>
      </c>
      <c r="K9" s="174">
        <f>C42</f>
        <v>2167.025</v>
      </c>
      <c r="L9" s="174">
        <f>D42</f>
        <v>2379.81975</v>
      </c>
      <c r="M9" s="175">
        <f>E42</f>
        <v>2496.0342811250002</v>
      </c>
      <c r="O9" s="243" t="s">
        <v>171</v>
      </c>
      <c r="P9" s="48" t="s">
        <v>163</v>
      </c>
      <c r="Q9" s="198">
        <f>J33+J35+J36-J41-J42-J43</f>
        <v>2408.9915422885574</v>
      </c>
      <c r="R9" s="198">
        <f>K33+K35+K36-K41-K42-K43</f>
        <v>2695.692124144818</v>
      </c>
      <c r="S9" s="198">
        <f>L33+L35+L36-L41-L42-L43</f>
        <v>2943.0551803863177</v>
      </c>
      <c r="T9" s="204">
        <f>M33+M35+M36-M41-M42-M43</f>
        <v>3045.3736706652667</v>
      </c>
      <c r="U9" s="210" t="s">
        <v>239</v>
      </c>
      <c r="V9" s="209" t="s">
        <v>240</v>
      </c>
      <c r="W9" s="209" t="s">
        <v>241</v>
      </c>
      <c r="X9" s="253" t="s">
        <v>242</v>
      </c>
      <c r="Y9" s="18">
        <f>Q9-Q10</f>
        <v>3046.3748756218906</v>
      </c>
      <c r="Z9" s="18">
        <f>R9-R10</f>
        <v>2413.219521580715</v>
      </c>
      <c r="AA9" s="18">
        <f>S9-S10</f>
        <v>2514.0394011931744</v>
      </c>
      <c r="AB9" s="18">
        <f>T9-T10</f>
        <v>2567.5843304576415</v>
      </c>
      <c r="AC9" s="18"/>
    </row>
    <row r="10" spans="1:24" ht="13.5" thickBot="1">
      <c r="A10" s="42" t="s">
        <v>113</v>
      </c>
      <c r="B10" s="136">
        <f>(B9/($D$2+$D$3))*$D$2</f>
        <v>1375</v>
      </c>
      <c r="C10" s="136">
        <f>(C9/($D$2+$D$3))*$D$2</f>
        <v>1522.5</v>
      </c>
      <c r="D10" s="136">
        <f>(D9/($D$2+$D$3))*$D$2</f>
        <v>1674.1156250000001</v>
      </c>
      <c r="E10" s="137">
        <f>(E9/($D$2+$D$3))*$D$2</f>
        <v>1829.9371562500003</v>
      </c>
      <c r="F10" s="108"/>
      <c r="H10" s="228"/>
      <c r="I10" s="53" t="s">
        <v>140</v>
      </c>
      <c r="J10" s="174">
        <f>B62</f>
        <v>1530</v>
      </c>
      <c r="K10" s="174">
        <f>C62</f>
        <v>2117.621153846154</v>
      </c>
      <c r="L10" s="174">
        <f>D62</f>
        <v>2318.19541680602</v>
      </c>
      <c r="M10" s="175">
        <f>E62</f>
        <v>2449.1940161459033</v>
      </c>
      <c r="O10" s="302">
        <v>90</v>
      </c>
      <c r="P10" s="48" t="s">
        <v>165</v>
      </c>
      <c r="Q10" s="198">
        <f>J18-J17</f>
        <v>-637.3833333333332</v>
      </c>
      <c r="R10" s="198">
        <f>K18-K17</f>
        <v>282.472602564103</v>
      </c>
      <c r="S10" s="198">
        <f>L18-L17</f>
        <v>429.0157791931433</v>
      </c>
      <c r="T10" s="204">
        <f>M18-M17</f>
        <v>477.7893402076252</v>
      </c>
      <c r="U10" s="254">
        <f>-J27/(J26/J23)</f>
        <v>4189.3328331144885</v>
      </c>
      <c r="V10" s="255">
        <f>-K27/(K26/K23)</f>
        <v>3618.1843542937145</v>
      </c>
      <c r="W10" s="255">
        <f>-L27/(L26/L23)</f>
        <v>3794.363969989748</v>
      </c>
      <c r="X10" s="256">
        <f>-M27/(M26/M23)</f>
        <v>4786.741085553677</v>
      </c>
    </row>
    <row r="11" spans="1:20" ht="12.75">
      <c r="A11" s="42" t="s">
        <v>114</v>
      </c>
      <c r="B11" s="89">
        <f>(B9/($D$2+$D$3))*$D$3</f>
        <v>4125</v>
      </c>
      <c r="C11" s="89">
        <f>(C9/($D$2+$D$3))*$D$3</f>
        <v>4567.5</v>
      </c>
      <c r="D11" s="89">
        <f>(D9/($D$2+$D$3))*$D$3</f>
        <v>5022.346875</v>
      </c>
      <c r="E11" s="125">
        <f>(E9/($D$2+$D$3))*$D$3</f>
        <v>5489.811468750001</v>
      </c>
      <c r="F11" s="108"/>
      <c r="H11" s="228"/>
      <c r="I11" s="53" t="s">
        <v>108</v>
      </c>
      <c r="J11" s="174">
        <f>B102</f>
        <v>171.13333333333338</v>
      </c>
      <c r="K11" s="174">
        <f>C102</f>
        <v>285.6677820512821</v>
      </c>
      <c r="L11" s="174">
        <f>D102</f>
        <v>320.3029326588631</v>
      </c>
      <c r="M11" s="175">
        <f>E102</f>
        <v>372.62057350286807</v>
      </c>
      <c r="O11" s="243" t="s">
        <v>174</v>
      </c>
      <c r="P11" s="48" t="s">
        <v>164</v>
      </c>
      <c r="Q11" s="198">
        <f>Q9+Q10</f>
        <v>1771.6082089552242</v>
      </c>
      <c r="R11" s="198">
        <f>R9+R10</f>
        <v>2978.164726708921</v>
      </c>
      <c r="S11" s="198">
        <f>S9+S10</f>
        <v>3372.070959579461</v>
      </c>
      <c r="T11" s="204">
        <f>T9+T10</f>
        <v>3523.163010872892</v>
      </c>
    </row>
    <row r="12" spans="1:20" ht="13.5" thickBot="1">
      <c r="A12" s="43" t="s">
        <v>2</v>
      </c>
      <c r="B12" s="94">
        <f>B10+B11</f>
        <v>5500</v>
      </c>
      <c r="C12" s="94">
        <f>C10+C11</f>
        <v>6090</v>
      </c>
      <c r="D12" s="94">
        <f>D10+D11</f>
        <v>6696.462500000001</v>
      </c>
      <c r="E12" s="128">
        <f>E10+E11</f>
        <v>7319.748625000001</v>
      </c>
      <c r="F12" s="109"/>
      <c r="H12" s="229" t="s">
        <v>20</v>
      </c>
      <c r="I12" s="48"/>
      <c r="J12" s="70">
        <f>SUM(J7:J11)</f>
        <v>4396.133333333333</v>
      </c>
      <c r="K12" s="70">
        <f>SUM(K7:K11)</f>
        <v>5500.313935897436</v>
      </c>
      <c r="L12" s="70">
        <f>SUM(L7:L11)</f>
        <v>5953.318099464884</v>
      </c>
      <c r="M12" s="166">
        <f>SUM(M7:M11)</f>
        <v>6442.8488707737715</v>
      </c>
      <c r="O12" s="303">
        <v>1</v>
      </c>
      <c r="P12" s="48" t="s">
        <v>166</v>
      </c>
      <c r="Q12" s="68">
        <f>J38+Q9</f>
        <v>2408.9915422885574</v>
      </c>
      <c r="R12" s="68">
        <f>K38+R9</f>
        <v>2695.692124144818</v>
      </c>
      <c r="S12" s="68">
        <f>L38+S9</f>
        <v>2943.0551803863177</v>
      </c>
      <c r="T12" s="165">
        <f>M38+T9</f>
        <v>3045.3736706652667</v>
      </c>
    </row>
    <row r="13" spans="1:20" ht="13.5" thickBot="1">
      <c r="A13" s="44" t="s">
        <v>102</v>
      </c>
      <c r="B13" s="95">
        <f>0.17*B12</f>
        <v>935.0000000000001</v>
      </c>
      <c r="C13" s="95">
        <f>0.17*C12</f>
        <v>1035.3000000000002</v>
      </c>
      <c r="D13" s="95">
        <f>0.17*D12</f>
        <v>1138.3986250000003</v>
      </c>
      <c r="E13" s="129">
        <f>0.17*E12</f>
        <v>1244.3572662500003</v>
      </c>
      <c r="F13" s="109"/>
      <c r="H13" s="228"/>
      <c r="I13" s="53"/>
      <c r="J13" s="68"/>
      <c r="K13" s="68"/>
      <c r="L13" s="68"/>
      <c r="M13" s="77"/>
      <c r="O13" s="229" t="s">
        <v>175</v>
      </c>
      <c r="P13" s="250" t="s">
        <v>173</v>
      </c>
      <c r="Q13" s="172">
        <f>POWER(($O8*IF(J16&gt;0,J16,-J16)*2/$O6),1/2)</f>
        <v>809.6877705105132</v>
      </c>
      <c r="R13" s="172">
        <f>POWER(($O8*IF(K16&gt;0,K16,-K16)*2/$O6),1/2)</f>
        <v>539.0206381500144</v>
      </c>
      <c r="S13" s="172">
        <f>POWER(($O8*IF(L16&gt;0,L16,-L16)*2/$O6),1/2)</f>
        <v>664.2841055485039</v>
      </c>
      <c r="T13" s="172">
        <f>POWER(($O8*IF(M16&gt;0,M16,-M16)*2/$O6),1/2)</f>
        <v>701.0281479466836</v>
      </c>
    </row>
    <row r="14" spans="1:20" ht="13.5" thickBot="1">
      <c r="A14" s="39" t="s">
        <v>131</v>
      </c>
      <c r="B14" s="96">
        <f>B12-B13</f>
        <v>4565</v>
      </c>
      <c r="C14" s="96">
        <f>C12-C13</f>
        <v>5054.7</v>
      </c>
      <c r="D14" s="96">
        <f>D12-D13</f>
        <v>5558.063875</v>
      </c>
      <c r="E14" s="130">
        <f>E12-E13</f>
        <v>6075.391358750001</v>
      </c>
      <c r="F14" s="108"/>
      <c r="H14" s="229" t="s">
        <v>42</v>
      </c>
      <c r="I14" s="48"/>
      <c r="J14" s="171">
        <v>600</v>
      </c>
      <c r="K14" s="70">
        <f>J20</f>
        <v>0</v>
      </c>
      <c r="L14" s="70">
        <f>K20</f>
        <v>0</v>
      </c>
      <c r="M14" s="166">
        <f>L20</f>
        <v>0</v>
      </c>
      <c r="O14" s="304">
        <v>25</v>
      </c>
      <c r="P14" s="43" t="s">
        <v>177</v>
      </c>
      <c r="Q14" s="220">
        <f>IF(J16&gt;0,J16,-J16)/Q13</f>
        <v>0.7871964435518879</v>
      </c>
      <c r="R14" s="220">
        <f>IF(K16&gt;0,K16,-K16)/R13</f>
        <v>0.5240478426458474</v>
      </c>
      <c r="S14" s="220">
        <f>IF(L16&gt;0,L16,-L16)/S13</f>
        <v>0.6458317692832678</v>
      </c>
      <c r="T14" s="220">
        <f>IF(M16&gt;0,M16,-M16)/T13</f>
        <v>0.6815551438370535</v>
      </c>
    </row>
    <row r="15" spans="8:20" ht="12.75">
      <c r="H15" s="229" t="s">
        <v>43</v>
      </c>
      <c r="I15" s="48"/>
      <c r="J15" s="70">
        <f>J5-J12</f>
        <v>-1237.3833333333332</v>
      </c>
      <c r="K15" s="70">
        <f>K5-K12</f>
        <v>282.472602564103</v>
      </c>
      <c r="L15" s="70">
        <f>L5-L12</f>
        <v>429.0157791931433</v>
      </c>
      <c r="M15" s="166">
        <f>M5-M12</f>
        <v>477.7893402076252</v>
      </c>
      <c r="O15" s="226" t="s">
        <v>233</v>
      </c>
      <c r="P15" s="46" t="s">
        <v>169</v>
      </c>
      <c r="Q15" s="193">
        <f>POWER(($O14*B39*2/$O12),1/2)</f>
        <v>168.81943016134133</v>
      </c>
      <c r="R15" s="193">
        <f>POWER(($O14*C39*2/$O12),1/2)</f>
        <v>174.64249196572982</v>
      </c>
      <c r="S15" s="193">
        <f>POWER(($O14*D39*2/$O12),1/2)</f>
        <v>181.6590212458495</v>
      </c>
      <c r="T15" s="194">
        <f>POWER(($O14*E39*2/$O12),1/2)</f>
        <v>184.66185312619388</v>
      </c>
    </row>
    <row r="16" spans="8:20" ht="13.5" thickBot="1">
      <c r="H16" s="229" t="s">
        <v>44</v>
      </c>
      <c r="I16" s="48"/>
      <c r="J16" s="70">
        <f>J14+J15</f>
        <v>-637.3833333333332</v>
      </c>
      <c r="K16" s="70">
        <f>K14+K15</f>
        <v>282.472602564103</v>
      </c>
      <c r="L16" s="70">
        <f>L14+L15</f>
        <v>429.0157791931433</v>
      </c>
      <c r="M16" s="166">
        <f>M14+M15</f>
        <v>477.7893402076252</v>
      </c>
      <c r="O16" s="247">
        <f>(J16+K16+L16+M16)/4</f>
        <v>137.97359715788457</v>
      </c>
      <c r="P16" s="43" t="s">
        <v>176</v>
      </c>
      <c r="Q16" s="220">
        <f>B39/Q15</f>
        <v>3.376388603226826</v>
      </c>
      <c r="R16" s="220">
        <f>C39/R15</f>
        <v>3.4928498393145957</v>
      </c>
      <c r="S16" s="220">
        <f>D39/S15</f>
        <v>3.6331804249169903</v>
      </c>
      <c r="T16" s="221">
        <f>E39/T15</f>
        <v>3.6932370625238775</v>
      </c>
    </row>
    <row r="17" spans="1:20" ht="13.5" thickBot="1">
      <c r="A17" s="44" t="s">
        <v>7</v>
      </c>
      <c r="B17" s="45" t="str">
        <f>$B$6</f>
        <v>Trim 1</v>
      </c>
      <c r="C17" s="45" t="str">
        <f>$C$6</f>
        <v>Trim 2</v>
      </c>
      <c r="D17" s="45" t="str">
        <f>$D$6</f>
        <v>Trim 3</v>
      </c>
      <c r="E17" s="118" t="str">
        <f>$E$6</f>
        <v>Trim 4</v>
      </c>
      <c r="F17" s="19"/>
      <c r="H17" s="229" t="s">
        <v>45</v>
      </c>
      <c r="I17" s="48"/>
      <c r="J17" s="49">
        <f>IF(J16&lt;0,-J16+J19,0)</f>
        <v>637.3833333333332</v>
      </c>
      <c r="K17" s="49">
        <f>IF(K16&lt;0,-K16+K19,0)</f>
        <v>0</v>
      </c>
      <c r="L17" s="49">
        <f>IF(L16&lt;0,-L16+L19,0)</f>
        <v>0</v>
      </c>
      <c r="M17" s="121">
        <f>IF(M16&lt;0,-M16+M19,0)</f>
        <v>0</v>
      </c>
      <c r="O17" s="226" t="s">
        <v>234</v>
      </c>
      <c r="P17" s="251" t="s">
        <v>231</v>
      </c>
      <c r="Q17" s="218">
        <f>POWER((3/4*O8*O18/Q18),1/3)</f>
        <v>1342.319214923486</v>
      </c>
      <c r="R17" s="212" t="s">
        <v>238</v>
      </c>
      <c r="S17" s="218">
        <f>Q20-Q17</f>
        <v>2684.638429846972</v>
      </c>
      <c r="T17" s="219"/>
    </row>
    <row r="18" spans="1:20" ht="12.75">
      <c r="A18" s="46" t="s">
        <v>115</v>
      </c>
      <c r="B18" s="47">
        <f>B11</f>
        <v>4125</v>
      </c>
      <c r="C18" s="47">
        <f>C11</f>
        <v>4567.5</v>
      </c>
      <c r="D18" s="47">
        <f>D11</f>
        <v>5022.346875</v>
      </c>
      <c r="E18" s="119">
        <f>E11</f>
        <v>5489.811468750001</v>
      </c>
      <c r="F18" s="109"/>
      <c r="H18" s="228" t="s">
        <v>46</v>
      </c>
      <c r="I18" s="42"/>
      <c r="J18" s="68">
        <f>IF(J16&gt;0,J16-J19,0)</f>
        <v>0</v>
      </c>
      <c r="K18" s="68">
        <f>IF(K16&gt;0,K16-K19,0)</f>
        <v>282.472602564103</v>
      </c>
      <c r="L18" s="68">
        <f>IF(L16&gt;0,L16-L19,0)</f>
        <v>429.0157791931433</v>
      </c>
      <c r="M18" s="165">
        <f>IF(M16&gt;0,M16-M19,0)</f>
        <v>477.7893402076252</v>
      </c>
      <c r="O18" s="248">
        <f>(POWER((J16-O16),2)+POWER((K16-O16),2)+POWER((L16-O16),2)+POWER((M16-O16),2))/4</f>
        <v>205559.65579311035</v>
      </c>
      <c r="P18" s="48" t="s">
        <v>232</v>
      </c>
      <c r="Q18" s="240">
        <f>POWER(($O6+1),1/30)-1</f>
        <v>0.0011473719520513903</v>
      </c>
      <c r="R18" s="67"/>
      <c r="S18" s="67"/>
      <c r="T18" s="77"/>
    </row>
    <row r="19" spans="1:20" ht="12.75">
      <c r="A19" s="48" t="s">
        <v>116</v>
      </c>
      <c r="B19" s="97">
        <v>90</v>
      </c>
      <c r="C19" s="97">
        <v>91</v>
      </c>
      <c r="D19" s="97">
        <v>92</v>
      </c>
      <c r="E19" s="120">
        <v>91</v>
      </c>
      <c r="F19" s="110"/>
      <c r="H19" s="228" t="s">
        <v>47</v>
      </c>
      <c r="I19" s="42"/>
      <c r="J19" s="74"/>
      <c r="K19" s="74"/>
      <c r="L19" s="74"/>
      <c r="M19" s="167"/>
      <c r="O19" s="229" t="s">
        <v>235</v>
      </c>
      <c r="P19" s="48" t="s">
        <v>236</v>
      </c>
      <c r="Q19" s="68">
        <f>4/3*Q17</f>
        <v>1789.7589532313145</v>
      </c>
      <c r="R19" s="67"/>
      <c r="S19" s="67"/>
      <c r="T19" s="77"/>
    </row>
    <row r="20" spans="1:20" ht="13.5" thickBot="1">
      <c r="A20" s="48" t="s">
        <v>117</v>
      </c>
      <c r="B20" s="49">
        <f>B18/B19</f>
        <v>45.833333333333336</v>
      </c>
      <c r="C20" s="49">
        <f>C18/C19</f>
        <v>50.19230769230769</v>
      </c>
      <c r="D20" s="49">
        <f>D18/D19</f>
        <v>54.59072690217391</v>
      </c>
      <c r="E20" s="121">
        <f>E18/E19</f>
        <v>60.32759855769232</v>
      </c>
      <c r="F20" s="109"/>
      <c r="H20" s="230" t="s">
        <v>48</v>
      </c>
      <c r="I20" s="50"/>
      <c r="J20" s="71">
        <f>J16+J17-J18</f>
        <v>0</v>
      </c>
      <c r="K20" s="71">
        <f>K16+K17-K18</f>
        <v>0</v>
      </c>
      <c r="L20" s="71">
        <f>L16+L17-L18</f>
        <v>0</v>
      </c>
      <c r="M20" s="168">
        <f>M16+M17-M18</f>
        <v>0</v>
      </c>
      <c r="O20" s="249">
        <f>POWER(O18,0.5)</f>
        <v>453.3868721005388</v>
      </c>
      <c r="P20" s="50" t="s">
        <v>237</v>
      </c>
      <c r="Q20" s="190">
        <f>3*Q17</f>
        <v>4026.957644770458</v>
      </c>
      <c r="R20" s="72"/>
      <c r="S20" s="72"/>
      <c r="T20" s="183"/>
    </row>
    <row r="21" spans="1:18" ht="13.5" thickBot="1">
      <c r="A21" s="48" t="s">
        <v>119</v>
      </c>
      <c r="B21" s="69">
        <f>((1+$D$3)*30)/2</f>
        <v>60</v>
      </c>
      <c r="C21" s="69">
        <f>((1+$D$3)*30)/2</f>
        <v>60</v>
      </c>
      <c r="D21" s="69">
        <f>((1+$D$3)*30)/2</f>
        <v>60</v>
      </c>
      <c r="E21" s="122">
        <f>((1+$D$3)*30)/2</f>
        <v>60</v>
      </c>
      <c r="F21" s="111"/>
      <c r="O21" s="657" t="s">
        <v>244</v>
      </c>
      <c r="P21" s="657"/>
      <c r="Q21" s="657"/>
      <c r="R21" s="657"/>
    </row>
    <row r="22" spans="1:18" ht="13.5" thickBot="1">
      <c r="A22" s="50" t="s">
        <v>120</v>
      </c>
      <c r="B22" s="51">
        <f>IF(B19&gt;B21,B20*B21,B18)</f>
        <v>2750</v>
      </c>
      <c r="C22" s="51">
        <f>IF(C19&gt;C21,C20*C21,IF(C21&lt;60,C18+B18*(B21-30)/B19,C18+B18))</f>
        <v>3011.5384615384614</v>
      </c>
      <c r="D22" s="51">
        <f>IF(D19&gt;D21,D20*D21,IF(D21&lt;60,D18+C18*(C21-30)/C19,IF(D21&lt;90,D18+C18+(D21-60)/D19*B18,D18+C18+B18)))</f>
        <v>3275.443614130435</v>
      </c>
      <c r="E22" s="123">
        <f>IF(E19&gt;E21,E20*E21,IF(E21&lt;60,E18+D18*(D21-30)/D19,IF(E21&lt;90,E18+D18+(E21-60)/C19*C18,IF(E21&lt;120,E18+D18+C18+(E21-90)/B19*B18,E18+D18+C18+B18))))</f>
        <v>3619.655913461539</v>
      </c>
      <c r="F22" s="109"/>
      <c r="H22" s="231" t="s">
        <v>54</v>
      </c>
      <c r="I22" s="39"/>
      <c r="J22" s="40" t="str">
        <f>$B$6</f>
        <v>Trim 1</v>
      </c>
      <c r="K22" s="40" t="str">
        <f>$C$6</f>
        <v>Trim 2</v>
      </c>
      <c r="L22" s="40" t="str">
        <f>$D$6</f>
        <v>Trim 3</v>
      </c>
      <c r="M22" s="84" t="str">
        <f>$E$6</f>
        <v>Trim 4</v>
      </c>
      <c r="O22" s="222" t="str">
        <f>J22</f>
        <v>Trim 1</v>
      </c>
      <c r="P22" s="223" t="str">
        <f>K22</f>
        <v>Trim 2</v>
      </c>
      <c r="Q22" s="223" t="str">
        <f>L22</f>
        <v>Trim 3</v>
      </c>
      <c r="R22" s="225" t="str">
        <f>M22</f>
        <v>Trim 4</v>
      </c>
    </row>
    <row r="23" spans="1:18" ht="12.75">
      <c r="A23" s="61" t="s">
        <v>118</v>
      </c>
      <c r="B23" s="282">
        <v>450</v>
      </c>
      <c r="C23" s="148">
        <f>B27</f>
        <v>2750</v>
      </c>
      <c r="D23" s="148">
        <f>C27</f>
        <v>3011.5384615384614</v>
      </c>
      <c r="E23" s="156">
        <f>D27</f>
        <v>3275.443614130435</v>
      </c>
      <c r="F23" s="108"/>
      <c r="H23" s="227" t="s">
        <v>55</v>
      </c>
      <c r="I23" s="41"/>
      <c r="J23" s="169">
        <f>B12</f>
        <v>5500</v>
      </c>
      <c r="K23" s="169">
        <f>C12</f>
        <v>6090</v>
      </c>
      <c r="L23" s="169">
        <f>D12</f>
        <v>6696.462500000001</v>
      </c>
      <c r="M23" s="232">
        <f>E12</f>
        <v>7319.748625000001</v>
      </c>
      <c r="O23" s="259">
        <v>1</v>
      </c>
      <c r="P23" s="260">
        <v>1</v>
      </c>
      <c r="Q23" s="260">
        <v>1</v>
      </c>
      <c r="R23" s="261">
        <v>1</v>
      </c>
    </row>
    <row r="24" spans="1:18" ht="12.75">
      <c r="A24" s="42" t="s">
        <v>148</v>
      </c>
      <c r="B24" s="89">
        <f>B18</f>
        <v>4125</v>
      </c>
      <c r="C24" s="89">
        <f>C18</f>
        <v>4567.5</v>
      </c>
      <c r="D24" s="89">
        <f>D18</f>
        <v>5022.346875</v>
      </c>
      <c r="E24" s="125">
        <f>E18</f>
        <v>5489.811468750001</v>
      </c>
      <c r="F24" s="108"/>
      <c r="H24" s="227"/>
      <c r="I24" s="41" t="s">
        <v>110</v>
      </c>
      <c r="J24" s="169">
        <f>-B13</f>
        <v>-935.0000000000001</v>
      </c>
      <c r="K24" s="169">
        <f>-C13</f>
        <v>-1035.3000000000002</v>
      </c>
      <c r="L24" s="169">
        <f>-D13</f>
        <v>-1138.3986250000003</v>
      </c>
      <c r="M24" s="232">
        <f>-E13</f>
        <v>-1244.3572662500003</v>
      </c>
      <c r="O24" s="262">
        <f aca="true" t="shared" si="3" ref="O24:R27">J24/J$23</f>
        <v>-0.17</v>
      </c>
      <c r="P24" s="263">
        <f t="shared" si="3"/>
        <v>-0.17000000000000004</v>
      </c>
      <c r="Q24" s="263">
        <f t="shared" si="3"/>
        <v>-0.17</v>
      </c>
      <c r="R24" s="264">
        <f t="shared" si="3"/>
        <v>-0.17</v>
      </c>
    </row>
    <row r="25" spans="1:18" ht="12.75">
      <c r="A25" s="42" t="s">
        <v>245</v>
      </c>
      <c r="B25" s="89">
        <f>'Relaxamento dos Padrões de Créd'!$B$11*B24</f>
        <v>41.25</v>
      </c>
      <c r="C25" s="89">
        <f>'Relaxamento dos Padrões de Créd'!$B$11*C24</f>
        <v>45.675000000000004</v>
      </c>
      <c r="D25" s="89">
        <f>'Relaxamento dos Padrões de Créd'!$B$11*D24</f>
        <v>50.22346875</v>
      </c>
      <c r="E25" s="125">
        <f>'Relaxamento dos Padrões de Créd'!$B$11*E24</f>
        <v>54.89811468750001</v>
      </c>
      <c r="F25" s="108"/>
      <c r="H25" s="228"/>
      <c r="I25" s="42" t="s">
        <v>56</v>
      </c>
      <c r="J25" s="152">
        <f>-B74</f>
        <v>-3252.1417910447763</v>
      </c>
      <c r="K25" s="152">
        <f>-C74</f>
        <v>-3539.851815579636</v>
      </c>
      <c r="L25" s="152">
        <f>-D74</f>
        <v>-3881.461570815357</v>
      </c>
      <c r="M25" s="158">
        <f>-E74</f>
        <v>-4240.385413575927</v>
      </c>
      <c r="O25" s="262">
        <f t="shared" si="3"/>
        <v>-0.5912985074626866</v>
      </c>
      <c r="P25" s="263">
        <f t="shared" si="3"/>
        <v>-0.5812564557602029</v>
      </c>
      <c r="Q25" s="263">
        <f t="shared" si="3"/>
        <v>-0.5796286577898938</v>
      </c>
      <c r="R25" s="264">
        <f t="shared" si="3"/>
        <v>-0.5793075187163174</v>
      </c>
    </row>
    <row r="26" spans="1:18" ht="12.75">
      <c r="A26" s="42" t="s">
        <v>8</v>
      </c>
      <c r="B26" s="136">
        <f>B23+B24-B27-B25</f>
        <v>1783.75</v>
      </c>
      <c r="C26" s="136">
        <f>C23+C24-C27-C25</f>
        <v>4260.286538461539</v>
      </c>
      <c r="D26" s="136">
        <f>D23+D24-D27-D25</f>
        <v>4708.218253658027</v>
      </c>
      <c r="E26" s="137">
        <f>E23+E24-E27-E25</f>
        <v>5090.701054731397</v>
      </c>
      <c r="F26" s="109"/>
      <c r="H26" s="228" t="s">
        <v>57</v>
      </c>
      <c r="I26" s="42"/>
      <c r="J26" s="152">
        <f>SUM(J23:J25)</f>
        <v>1312.8582089552237</v>
      </c>
      <c r="K26" s="152">
        <f>SUM(K23:K25)</f>
        <v>1514.8481844203639</v>
      </c>
      <c r="L26" s="152">
        <f>SUM(L23:L25)</f>
        <v>1676.602304184643</v>
      </c>
      <c r="M26" s="158">
        <f>SUM(M23:M25)</f>
        <v>1835.0059451740744</v>
      </c>
      <c r="O26" s="262">
        <f t="shared" si="3"/>
        <v>0.2387014925373134</v>
      </c>
      <c r="P26" s="263">
        <f t="shared" si="3"/>
        <v>0.24874354423979703</v>
      </c>
      <c r="Q26" s="263">
        <f t="shared" si="3"/>
        <v>0.2503713422101061</v>
      </c>
      <c r="R26" s="264">
        <f t="shared" si="3"/>
        <v>0.25069248128368266</v>
      </c>
    </row>
    <row r="27" spans="1:18" ht="13.5" thickBot="1">
      <c r="A27" s="50" t="s">
        <v>9</v>
      </c>
      <c r="B27" s="51">
        <f>B22</f>
        <v>2750</v>
      </c>
      <c r="C27" s="51">
        <f>C22</f>
        <v>3011.5384615384614</v>
      </c>
      <c r="D27" s="51">
        <f>D22</f>
        <v>3275.443614130435</v>
      </c>
      <c r="E27" s="123">
        <f>E22</f>
        <v>3619.655913461539</v>
      </c>
      <c r="H27" s="228"/>
      <c r="I27" s="42" t="s">
        <v>58</v>
      </c>
      <c r="J27" s="152">
        <f>-B81</f>
        <v>-1000</v>
      </c>
      <c r="K27" s="152">
        <f>-C81</f>
        <v>-900</v>
      </c>
      <c r="L27" s="152">
        <f>-D81</f>
        <v>-950</v>
      </c>
      <c r="M27" s="158">
        <f>-E81</f>
        <v>-1200</v>
      </c>
      <c r="O27" s="262">
        <f t="shared" si="3"/>
        <v>-0.18181818181818182</v>
      </c>
      <c r="P27" s="263">
        <f t="shared" si="3"/>
        <v>-0.1477832512315271</v>
      </c>
      <c r="Q27" s="263">
        <f t="shared" si="3"/>
        <v>-0.1418659478791974</v>
      </c>
      <c r="R27" s="264">
        <f t="shared" si="3"/>
        <v>-0.16394005606988996</v>
      </c>
    </row>
    <row r="28" spans="8:18" ht="13.5" thickBot="1">
      <c r="H28" s="236"/>
      <c r="I28" s="63" t="s">
        <v>245</v>
      </c>
      <c r="J28" s="283">
        <f>-B25</f>
        <v>-41.25</v>
      </c>
      <c r="K28" s="283">
        <f>-C25</f>
        <v>-45.675000000000004</v>
      </c>
      <c r="L28" s="283">
        <f>-D25</f>
        <v>-50.22346875</v>
      </c>
      <c r="M28" s="284">
        <f>-E25</f>
        <v>-54.89811468750001</v>
      </c>
      <c r="O28" s="265">
        <f>J29/J$23</f>
        <v>0.04938331071913159</v>
      </c>
      <c r="P28" s="266">
        <f>K29/K$23</f>
        <v>0.09346029300826994</v>
      </c>
      <c r="Q28" s="266">
        <f>L29/L$23</f>
        <v>0.10100539433090872</v>
      </c>
      <c r="R28" s="267">
        <f>M29/M$23</f>
        <v>0.0792524252137927</v>
      </c>
    </row>
    <row r="29" spans="6:18" ht="13.5" thickBot="1">
      <c r="F29" s="19"/>
      <c r="H29" s="230" t="s">
        <v>59</v>
      </c>
      <c r="I29" s="64"/>
      <c r="J29" s="71">
        <f>J26+J27+J28</f>
        <v>271.60820895522374</v>
      </c>
      <c r="K29" s="71">
        <f>K26+K27+K28</f>
        <v>569.1731844203639</v>
      </c>
      <c r="L29" s="71">
        <f>L26+L27+L28</f>
        <v>676.3788354346428</v>
      </c>
      <c r="M29" s="168">
        <f>M26+M27+M28</f>
        <v>580.1078304865745</v>
      </c>
      <c r="O29" s="657" t="s">
        <v>244</v>
      </c>
      <c r="P29" s="657"/>
      <c r="Q29" s="657"/>
      <c r="R29" s="657"/>
    </row>
    <row r="30" spans="1:18" ht="13.5" thickBot="1">
      <c r="A30" s="61" t="s">
        <v>10</v>
      </c>
      <c r="B30" s="45"/>
      <c r="C30" s="45"/>
      <c r="D30" s="45" t="s">
        <v>143</v>
      </c>
      <c r="E30" s="118"/>
      <c r="F30" s="101"/>
      <c r="O30" s="268" t="str">
        <f>J31</f>
        <v>Trim 1</v>
      </c>
      <c r="P30" s="269" t="str">
        <f>K31</f>
        <v>Trim 2</v>
      </c>
      <c r="Q30" s="269" t="str">
        <f>L31</f>
        <v>Trim 3</v>
      </c>
      <c r="R30" s="270" t="str">
        <f>M31</f>
        <v>Trim 4</v>
      </c>
    </row>
    <row r="31" spans="1:18" ht="13.5" thickBot="1">
      <c r="A31" s="42" t="s">
        <v>5</v>
      </c>
      <c r="B31" s="89">
        <f>($B$33/($D$31+$D$32))*D31</f>
        <v>3.5</v>
      </c>
      <c r="C31" s="67"/>
      <c r="D31" s="86">
        <v>1</v>
      </c>
      <c r="E31" s="77"/>
      <c r="F31" s="103"/>
      <c r="H31" s="231" t="s">
        <v>60</v>
      </c>
      <c r="I31" s="39"/>
      <c r="J31" s="40" t="str">
        <f>$B$6</f>
        <v>Trim 1</v>
      </c>
      <c r="K31" s="40" t="str">
        <f>$C$6</f>
        <v>Trim 2</v>
      </c>
      <c r="L31" s="40" t="str">
        <f>$D$6</f>
        <v>Trim 3</v>
      </c>
      <c r="M31" s="84" t="str">
        <f>$E$6</f>
        <v>Trim 4</v>
      </c>
      <c r="O31" s="259"/>
      <c r="P31" s="260"/>
      <c r="Q31" s="260"/>
      <c r="R31" s="261"/>
    </row>
    <row r="32" spans="1:18" ht="12.75">
      <c r="A32" s="42" t="s">
        <v>6</v>
      </c>
      <c r="B32" s="89">
        <f>($B$33/($D$31+$D$32))*D32</f>
        <v>3.5</v>
      </c>
      <c r="C32" s="67"/>
      <c r="D32" s="86">
        <v>1</v>
      </c>
      <c r="E32" s="78"/>
      <c r="F32" s="112"/>
      <c r="H32" s="233" t="s">
        <v>61</v>
      </c>
      <c r="I32" s="41"/>
      <c r="J32" s="66"/>
      <c r="K32" s="66"/>
      <c r="L32" s="66"/>
      <c r="M32" s="83"/>
      <c r="O32" s="271">
        <f aca="true" t="shared" si="4" ref="O32:O37">J33/J$39</f>
        <v>0</v>
      </c>
      <c r="P32" s="240">
        <f aca="true" t="shared" si="5" ref="P32:R37">K33/K$39</f>
        <v>0</v>
      </c>
      <c r="Q32" s="240">
        <f t="shared" si="5"/>
        <v>0</v>
      </c>
      <c r="R32" s="272">
        <f t="shared" si="5"/>
        <v>0</v>
      </c>
    </row>
    <row r="33" spans="1:18" ht="13.5" thickBot="1">
      <c r="A33" s="64" t="s">
        <v>15</v>
      </c>
      <c r="B33" s="99">
        <v>7</v>
      </c>
      <c r="C33" s="72"/>
      <c r="D33" s="79"/>
      <c r="E33" s="80"/>
      <c r="H33" s="234"/>
      <c r="I33" s="53" t="s">
        <v>62</v>
      </c>
      <c r="J33" s="152">
        <f>J20</f>
        <v>0</v>
      </c>
      <c r="K33" s="152">
        <f>K20</f>
        <v>0</v>
      </c>
      <c r="L33" s="152">
        <f>L20</f>
        <v>0</v>
      </c>
      <c r="M33" s="158">
        <f>M20</f>
        <v>0</v>
      </c>
      <c r="O33" s="271">
        <f t="shared" si="4"/>
        <v>0</v>
      </c>
      <c r="P33" s="240">
        <f t="shared" si="5"/>
        <v>0.06955776070790505</v>
      </c>
      <c r="Q33" s="240">
        <f t="shared" si="5"/>
        <v>0.1475217427581875</v>
      </c>
      <c r="R33" s="272">
        <f t="shared" si="5"/>
        <v>0.21436259436034155</v>
      </c>
    </row>
    <row r="34" spans="6:18" ht="13.5" thickBot="1">
      <c r="F34" s="133" t="s">
        <v>150</v>
      </c>
      <c r="H34" s="233"/>
      <c r="I34" s="53" t="s">
        <v>151</v>
      </c>
      <c r="J34" s="152">
        <f>J18</f>
        <v>0</v>
      </c>
      <c r="K34" s="152">
        <f>J34+K18</f>
        <v>282.472602564103</v>
      </c>
      <c r="L34" s="152">
        <f>K34+L18</f>
        <v>711.4883817572463</v>
      </c>
      <c r="M34" s="158">
        <f>L34+M18</f>
        <v>1189.2777219648715</v>
      </c>
      <c r="O34" s="271">
        <f t="shared" si="4"/>
        <v>0.794899184780733</v>
      </c>
      <c r="P34" s="240">
        <f t="shared" si="5"/>
        <v>0.741579430248664</v>
      </c>
      <c r="Q34" s="240">
        <f t="shared" si="5"/>
        <v>0.6791384970606046</v>
      </c>
      <c r="R34" s="272">
        <f t="shared" si="5"/>
        <v>0.6524286278729152</v>
      </c>
    </row>
    <row r="35" spans="1:18" ht="13.5" thickBot="1">
      <c r="A35" s="44" t="s">
        <v>11</v>
      </c>
      <c r="B35" s="45" t="str">
        <f>$B$6</f>
        <v>Trim 1</v>
      </c>
      <c r="C35" s="45" t="str">
        <f>$C$6</f>
        <v>Trim 2</v>
      </c>
      <c r="D35" s="45" t="str">
        <f>$D$6</f>
        <v>Trim 3</v>
      </c>
      <c r="E35" s="40" t="str">
        <f>$E$6</f>
        <v>Trim 4</v>
      </c>
      <c r="F35" s="132">
        <f>610</f>
        <v>610</v>
      </c>
      <c r="H35" s="233"/>
      <c r="I35" s="53" t="s">
        <v>38</v>
      </c>
      <c r="J35" s="89">
        <f>B27</f>
        <v>2750</v>
      </c>
      <c r="K35" s="89">
        <f>C27</f>
        <v>3011.5384615384614</v>
      </c>
      <c r="L35" s="89">
        <f>D27</f>
        <v>3275.443614130435</v>
      </c>
      <c r="M35" s="125">
        <f>E27</f>
        <v>3619.655913461539</v>
      </c>
      <c r="O35" s="271">
        <f t="shared" si="4"/>
        <v>0.20510081521926707</v>
      </c>
      <c r="P35" s="240">
        <f t="shared" si="5"/>
        <v>0.188862809043431</v>
      </c>
      <c r="Q35" s="240">
        <f t="shared" si="5"/>
        <v>0.17333976018120786</v>
      </c>
      <c r="R35" s="272">
        <f t="shared" si="5"/>
        <v>0.1332087777667432</v>
      </c>
    </row>
    <row r="36" spans="1:18" ht="13.5" thickBot="1">
      <c r="A36" s="52" t="s">
        <v>149</v>
      </c>
      <c r="B36" s="100">
        <f>B7</f>
        <v>550</v>
      </c>
      <c r="C36" s="100">
        <f>C7</f>
        <v>600</v>
      </c>
      <c r="D36" s="100">
        <f>D7</f>
        <v>650</v>
      </c>
      <c r="E36" s="100">
        <f>E7</f>
        <v>700</v>
      </c>
      <c r="F36" s="131">
        <v>0.2</v>
      </c>
      <c r="H36" s="233"/>
      <c r="I36" s="53" t="s">
        <v>63</v>
      </c>
      <c r="J36" s="89">
        <f>B76</f>
        <v>709.5582089552239</v>
      </c>
      <c r="K36" s="89">
        <f>C76</f>
        <v>766.9678933755878</v>
      </c>
      <c r="L36" s="89">
        <f>D76</f>
        <v>836.0071075602308</v>
      </c>
      <c r="M36" s="125">
        <f>E76</f>
        <v>739.0386006518044</v>
      </c>
      <c r="O36" s="271">
        <f t="shared" si="4"/>
        <v>0</v>
      </c>
      <c r="P36" s="240">
        <f t="shared" si="5"/>
        <v>0</v>
      </c>
      <c r="Q36" s="240">
        <f t="shared" si="5"/>
        <v>0</v>
      </c>
      <c r="R36" s="272">
        <f t="shared" si="5"/>
        <v>0</v>
      </c>
    </row>
    <row r="37" spans="1:18" ht="12.75">
      <c r="A37" s="53" t="s">
        <v>12</v>
      </c>
      <c r="B37" s="69">
        <f>$F$36*C36</f>
        <v>120</v>
      </c>
      <c r="C37" s="69">
        <f>$F$36*D36</f>
        <v>130</v>
      </c>
      <c r="D37" s="69">
        <f>$F$36*E36</f>
        <v>140</v>
      </c>
      <c r="E37" s="69">
        <f>$F$36*F35</f>
        <v>122</v>
      </c>
      <c r="F37" s="107"/>
      <c r="H37" s="233"/>
      <c r="I37" s="53" t="s">
        <v>109</v>
      </c>
      <c r="J37" s="89"/>
      <c r="K37" s="89"/>
      <c r="L37" s="89"/>
      <c r="M37" s="125"/>
      <c r="O37" s="271">
        <f t="shared" si="4"/>
        <v>0</v>
      </c>
      <c r="P37" s="240">
        <f t="shared" si="5"/>
        <v>0</v>
      </c>
      <c r="Q37" s="240">
        <f t="shared" si="5"/>
        <v>0</v>
      </c>
      <c r="R37" s="272">
        <f t="shared" si="5"/>
        <v>0</v>
      </c>
    </row>
    <row r="38" spans="1:18" ht="12.75">
      <c r="A38" s="53" t="s">
        <v>13</v>
      </c>
      <c r="B38" s="55">
        <v>100</v>
      </c>
      <c r="C38" s="69">
        <f>B37</f>
        <v>120</v>
      </c>
      <c r="D38" s="69">
        <f>C37</f>
        <v>130</v>
      </c>
      <c r="E38" s="122">
        <f>D37</f>
        <v>140</v>
      </c>
      <c r="F38" s="107"/>
      <c r="H38" s="233"/>
      <c r="I38" s="53" t="s">
        <v>137</v>
      </c>
      <c r="J38" s="170"/>
      <c r="K38" s="170"/>
      <c r="L38" s="170"/>
      <c r="M38" s="238"/>
      <c r="O38" s="271">
        <v>1</v>
      </c>
      <c r="P38" s="240">
        <v>1</v>
      </c>
      <c r="Q38" s="240">
        <v>1</v>
      </c>
      <c r="R38" s="272">
        <v>1</v>
      </c>
    </row>
    <row r="39" spans="1:18" ht="12.75">
      <c r="A39" s="53" t="s">
        <v>14</v>
      </c>
      <c r="B39" s="69">
        <f>B36+B37-B38</f>
        <v>570</v>
      </c>
      <c r="C39" s="69">
        <f>C36+C37-C38</f>
        <v>610</v>
      </c>
      <c r="D39" s="69">
        <f>D36+D37-D38</f>
        <v>660</v>
      </c>
      <c r="E39" s="122">
        <f>E36+E37-E38</f>
        <v>682</v>
      </c>
      <c r="F39" s="113"/>
      <c r="H39" s="235"/>
      <c r="I39" s="48" t="s">
        <v>20</v>
      </c>
      <c r="J39" s="70">
        <f>SUM(J33:J38)</f>
        <v>3459.558208955224</v>
      </c>
      <c r="K39" s="70">
        <f>SUM(K33:K38)</f>
        <v>4060.978957478152</v>
      </c>
      <c r="L39" s="70">
        <f>SUM(L33:L38)</f>
        <v>4822.939103447912</v>
      </c>
      <c r="M39" s="166">
        <f>SUM(M33:M38)</f>
        <v>5547.972236078215</v>
      </c>
      <c r="O39" s="271"/>
      <c r="P39" s="240"/>
      <c r="Q39" s="240"/>
      <c r="R39" s="272"/>
    </row>
    <row r="40" spans="1:18" ht="12.75">
      <c r="A40" s="53" t="s">
        <v>16</v>
      </c>
      <c r="B40" s="89">
        <f>B33</f>
        <v>7</v>
      </c>
      <c r="C40" s="89">
        <f>B40+B40*B4</f>
        <v>7.105</v>
      </c>
      <c r="D40" s="89">
        <f>C40+C40*C4</f>
        <v>7.211575000000001</v>
      </c>
      <c r="E40" s="125">
        <f>D40+D40*D4</f>
        <v>7.319748625000001</v>
      </c>
      <c r="F40" s="114"/>
      <c r="H40" s="233" t="s">
        <v>64</v>
      </c>
      <c r="I40" s="53"/>
      <c r="J40" s="73"/>
      <c r="K40" s="73"/>
      <c r="L40" s="73"/>
      <c r="M40" s="77"/>
      <c r="O40" s="271">
        <f>J41/J$48</f>
        <v>0.1922210755924318</v>
      </c>
      <c r="P40" s="240">
        <f>K41/K$48</f>
        <v>0.17591912039787755</v>
      </c>
      <c r="Q40" s="240">
        <f>L41/L$48</f>
        <v>0.1609035823805125</v>
      </c>
      <c r="R40" s="272">
        <f>M41/M$48</f>
        <v>0.1483187747364427</v>
      </c>
    </row>
    <row r="41" spans="1:18" ht="12.75">
      <c r="A41" s="48" t="s">
        <v>17</v>
      </c>
      <c r="B41" s="49">
        <f>B39*B40</f>
        <v>3990</v>
      </c>
      <c r="C41" s="49">
        <f>C39*C40</f>
        <v>4334.05</v>
      </c>
      <c r="D41" s="49">
        <f>D39*D40</f>
        <v>4759.6395</v>
      </c>
      <c r="E41" s="121">
        <f>E39*E40</f>
        <v>4992.0685622500005</v>
      </c>
      <c r="F41" s="113"/>
      <c r="H41" s="234"/>
      <c r="I41" s="53" t="s">
        <v>41</v>
      </c>
      <c r="J41" s="89">
        <f>B63</f>
        <v>665</v>
      </c>
      <c r="K41" s="89">
        <f>C63</f>
        <v>714.4038461538462</v>
      </c>
      <c r="L41" s="89">
        <f>D63</f>
        <v>776.0281793478262</v>
      </c>
      <c r="M41" s="125">
        <f>E63</f>
        <v>822.8684443269232</v>
      </c>
      <c r="O41" s="271">
        <f aca="true" t="shared" si="6" ref="O41:O46">J42/J$48</f>
        <v>0.08671627470335269</v>
      </c>
      <c r="P41" s="240">
        <f aca="true" t="shared" si="7" ref="P41:P46">K42/K$48</f>
        <v>0.06648643167746643</v>
      </c>
      <c r="Q41" s="240">
        <f aca="true" t="shared" si="8" ref="Q41:Q46">L42/L$48</f>
        <v>0.059092597664410475</v>
      </c>
      <c r="R41" s="272">
        <f aca="true" t="shared" si="9" ref="R41:R46">M42/M$48</f>
        <v>0.06488857273995283</v>
      </c>
    </row>
    <row r="42" spans="1:18" ht="12.75">
      <c r="A42" s="53" t="s">
        <v>50</v>
      </c>
      <c r="B42" s="89">
        <f>(B41/($D$31+$D$32))*$D$31</f>
        <v>1995</v>
      </c>
      <c r="C42" s="89">
        <f>(C41/($D$31+$D$32))*$D$31</f>
        <v>2167.025</v>
      </c>
      <c r="D42" s="89">
        <f>(D41/($D$31+$D$32))*$D$31</f>
        <v>2379.81975</v>
      </c>
      <c r="E42" s="125">
        <f>(E41/($D$31+$D$32))*$D$31</f>
        <v>2496.0342811250002</v>
      </c>
      <c r="F42" s="113"/>
      <c r="H42" s="233"/>
      <c r="I42" s="53" t="s">
        <v>40</v>
      </c>
      <c r="J42" s="89">
        <f>B88</f>
        <v>300</v>
      </c>
      <c r="K42" s="89">
        <f>C88</f>
        <v>270</v>
      </c>
      <c r="L42" s="89">
        <f>D88</f>
        <v>285</v>
      </c>
      <c r="M42" s="125">
        <f>E88</f>
        <v>360</v>
      </c>
      <c r="O42" s="271">
        <f t="shared" si="6"/>
        <v>0.024733408573722932</v>
      </c>
      <c r="P42" s="240">
        <f t="shared" si="7"/>
        <v>0.02423316782623691</v>
      </c>
      <c r="Q42" s="240">
        <f t="shared" si="8"/>
        <v>0.022261811657494298</v>
      </c>
      <c r="R42" s="272">
        <f t="shared" si="9"/>
        <v>0.023513527748539872</v>
      </c>
    </row>
    <row r="43" spans="1:18" ht="13.5" thickBot="1">
      <c r="A43" s="54" t="s">
        <v>51</v>
      </c>
      <c r="B43" s="89">
        <f>(B41/($D$31+$D$32))*$D$32</f>
        <v>1995</v>
      </c>
      <c r="C43" s="89">
        <f>(C41/($D$31+$D$32))*$D$32</f>
        <v>2167.025</v>
      </c>
      <c r="D43" s="89">
        <f>(D41/($D$31+$D$32))*$D$32</f>
        <v>2379.81975</v>
      </c>
      <c r="E43" s="125">
        <f>(E41/($D$31+$D$32))*$D$32</f>
        <v>2496.0342811250002</v>
      </c>
      <c r="F43" s="113"/>
      <c r="H43" s="233"/>
      <c r="I43" s="53" t="s">
        <v>105</v>
      </c>
      <c r="J43" s="89">
        <f>B98</f>
        <v>85.56666666666668</v>
      </c>
      <c r="K43" s="89">
        <f>C98</f>
        <v>98.41038461538464</v>
      </c>
      <c r="L43" s="89">
        <f>D98</f>
        <v>107.3673619565218</v>
      </c>
      <c r="M43" s="125">
        <f>E98</f>
        <v>130.45239912115392</v>
      </c>
      <c r="O43" s="271">
        <f t="shared" si="6"/>
        <v>0.18423836074890645</v>
      </c>
      <c r="P43" s="240">
        <f t="shared" si="7"/>
        <v>0.1569531238667499</v>
      </c>
      <c r="Q43" s="240">
        <f t="shared" si="8"/>
        <v>0.1321566206128684</v>
      </c>
      <c r="R43" s="272">
        <f t="shared" si="9"/>
        <v>0.11488581885620441</v>
      </c>
    </row>
    <row r="44" spans="1:18" ht="13.5" thickBot="1">
      <c r="A44" s="44" t="s">
        <v>101</v>
      </c>
      <c r="B44" s="134">
        <f>0.17*B41</f>
        <v>678.3000000000001</v>
      </c>
      <c r="C44" s="134">
        <f>0.17*C41</f>
        <v>736.7885000000001</v>
      </c>
      <c r="D44" s="134">
        <f>0.17*D41</f>
        <v>809.138715</v>
      </c>
      <c r="E44" s="135">
        <f>0.17*E41</f>
        <v>848.6516555825001</v>
      </c>
      <c r="F44" s="113"/>
      <c r="H44" s="235"/>
      <c r="I44" s="42" t="s">
        <v>65</v>
      </c>
      <c r="J44" s="89">
        <f>J17</f>
        <v>637.3833333333332</v>
      </c>
      <c r="K44" s="89">
        <f>J44+K17</f>
        <v>637.3833333333332</v>
      </c>
      <c r="L44" s="89">
        <f>K44+L17</f>
        <v>637.3833333333332</v>
      </c>
      <c r="M44" s="125">
        <f>L44+M17</f>
        <v>637.3833333333332</v>
      </c>
      <c r="O44" s="271"/>
      <c r="P44" s="240"/>
      <c r="Q44" s="240"/>
      <c r="R44" s="272"/>
    </row>
    <row r="45" spans="1:18" ht="13.5" thickBot="1">
      <c r="A45" s="39" t="s">
        <v>112</v>
      </c>
      <c r="B45" s="96">
        <f>B41-B44</f>
        <v>3311.7</v>
      </c>
      <c r="C45" s="96">
        <f>C41-C44</f>
        <v>3597.2615</v>
      </c>
      <c r="D45" s="96">
        <f>D41-D44</f>
        <v>3950.500785</v>
      </c>
      <c r="E45" s="130">
        <f>E41-E44</f>
        <v>4143.4169066675</v>
      </c>
      <c r="H45" s="233" t="s">
        <v>66</v>
      </c>
      <c r="I45" s="42"/>
      <c r="J45" s="73"/>
      <c r="K45" s="73"/>
      <c r="L45" s="73"/>
      <c r="M45" s="239"/>
      <c r="O45" s="271">
        <f t="shared" si="6"/>
        <v>0.43358137351676346</v>
      </c>
      <c r="P45" s="240">
        <f t="shared" si="7"/>
        <v>0.3693690648748135</v>
      </c>
      <c r="Q45" s="240">
        <f t="shared" si="8"/>
        <v>0.3110136719179499</v>
      </c>
      <c r="R45" s="272">
        <f t="shared" si="9"/>
        <v>0.27036905308313675</v>
      </c>
    </row>
    <row r="46" spans="8:18" ht="12.75">
      <c r="H46" s="233"/>
      <c r="I46" s="42" t="s">
        <v>138</v>
      </c>
      <c r="J46" s="170">
        <v>1500</v>
      </c>
      <c r="K46" s="89">
        <f>J46</f>
        <v>1500</v>
      </c>
      <c r="L46" s="89">
        <f>K46</f>
        <v>1500</v>
      </c>
      <c r="M46" s="125">
        <f>L46</f>
        <v>1500</v>
      </c>
      <c r="O46" s="271">
        <f t="shared" si="6"/>
        <v>0.07850950686482266</v>
      </c>
      <c r="P46" s="240">
        <f t="shared" si="7"/>
        <v>0.2070390913568557</v>
      </c>
      <c r="Q46" s="240">
        <f t="shared" si="8"/>
        <v>0.3145717157667645</v>
      </c>
      <c r="R46" s="272">
        <f t="shared" si="9"/>
        <v>0.3780242528357234</v>
      </c>
    </row>
    <row r="47" spans="8:18" ht="13.5" thickBot="1">
      <c r="H47" s="236"/>
      <c r="I47" s="42" t="s">
        <v>67</v>
      </c>
      <c r="J47" s="152">
        <f>J29</f>
        <v>271.60820895522374</v>
      </c>
      <c r="K47" s="152">
        <f>K29+J47</f>
        <v>840.7813933755876</v>
      </c>
      <c r="L47" s="152">
        <f>L29+K47</f>
        <v>1517.1602288102304</v>
      </c>
      <c r="M47" s="158">
        <f>M29+L47</f>
        <v>2097.268059296805</v>
      </c>
      <c r="O47" s="273">
        <v>1</v>
      </c>
      <c r="P47" s="274">
        <v>1</v>
      </c>
      <c r="Q47" s="274">
        <v>1</v>
      </c>
      <c r="R47" s="275">
        <v>1</v>
      </c>
    </row>
    <row r="48" spans="8:13" ht="13.5" thickBot="1">
      <c r="H48" s="237"/>
      <c r="I48" s="50" t="s">
        <v>20</v>
      </c>
      <c r="J48" s="51">
        <f>SUM(J41:J47)</f>
        <v>3459.5582089552236</v>
      </c>
      <c r="K48" s="51">
        <f>SUM(K41:K47)</f>
        <v>4060.9789574781516</v>
      </c>
      <c r="L48" s="51">
        <f>SUM(L41:L47)</f>
        <v>4822.939103447911</v>
      </c>
      <c r="M48" s="123">
        <f>SUM(M41:M47)</f>
        <v>5547.972236078215</v>
      </c>
    </row>
    <row r="49" spans="10:13" ht="12.75">
      <c r="J49" s="38">
        <f>J39-J48</f>
        <v>0</v>
      </c>
      <c r="K49" s="38">
        <f>K39-K48</f>
        <v>0</v>
      </c>
      <c r="L49" s="38">
        <f>L39-L48</f>
        <v>0</v>
      </c>
      <c r="M49" s="38">
        <f>M39-M48</f>
        <v>0</v>
      </c>
    </row>
    <row r="50" spans="11:13" ht="12.75">
      <c r="K50" s="18">
        <f>K49-J49</f>
        <v>0</v>
      </c>
      <c r="L50" s="18">
        <f>L49-K49</f>
        <v>0</v>
      </c>
      <c r="M50" s="18">
        <f>M49-L49</f>
        <v>0</v>
      </c>
    </row>
    <row r="51" spans="10:12" ht="12.75">
      <c r="J51" s="38"/>
      <c r="K51" s="38"/>
      <c r="L51" s="38"/>
    </row>
    <row r="52" ht="13.5" thickBot="1"/>
    <row r="53" spans="6:12" ht="13.5" thickBot="1">
      <c r="F53" s="19"/>
      <c r="I53" s="61" t="s">
        <v>62</v>
      </c>
      <c r="J53" s="184">
        <v>600</v>
      </c>
      <c r="L53" s="188" t="s">
        <v>156</v>
      </c>
    </row>
    <row r="54" spans="1:12" ht="13.5" thickBot="1">
      <c r="A54" s="44" t="s">
        <v>30</v>
      </c>
      <c r="B54" s="45" t="str">
        <f>$B$6</f>
        <v>Trim 1</v>
      </c>
      <c r="C54" s="45" t="str">
        <f>$C$6</f>
        <v>Trim 2</v>
      </c>
      <c r="D54" s="45" t="str">
        <f>$D$6</f>
        <v>Trim 3</v>
      </c>
      <c r="E54" s="118" t="str">
        <f>$E$6</f>
        <v>Trim 4</v>
      </c>
      <c r="F54" s="109"/>
      <c r="I54" s="42" t="s">
        <v>152</v>
      </c>
      <c r="J54" s="185">
        <v>450</v>
      </c>
      <c r="L54" s="187">
        <f>M48/J62-1</f>
        <v>2.263513080046009</v>
      </c>
    </row>
    <row r="55" spans="1:10" ht="12.75">
      <c r="A55" s="46" t="s">
        <v>51</v>
      </c>
      <c r="B55" s="47">
        <f>B43</f>
        <v>1995</v>
      </c>
      <c r="C55" s="47">
        <f>C43</f>
        <v>2167.025</v>
      </c>
      <c r="D55" s="47">
        <f>D43</f>
        <v>2379.81975</v>
      </c>
      <c r="E55" s="119">
        <f>E43</f>
        <v>2496.0342811250002</v>
      </c>
      <c r="F55" s="19"/>
      <c r="I55" s="42" t="s">
        <v>153</v>
      </c>
      <c r="J55" s="185">
        <v>650</v>
      </c>
    </row>
    <row r="56" spans="1:10" ht="12.75">
      <c r="A56" s="48" t="s">
        <v>116</v>
      </c>
      <c r="B56" s="56">
        <f>B19</f>
        <v>90</v>
      </c>
      <c r="C56" s="56">
        <f>C19</f>
        <v>91</v>
      </c>
      <c r="D56" s="56">
        <f>D19</f>
        <v>92</v>
      </c>
      <c r="E56" s="139">
        <f>E19</f>
        <v>91</v>
      </c>
      <c r="F56" s="109"/>
      <c r="I56" s="42" t="s">
        <v>137</v>
      </c>
      <c r="J56" s="185"/>
    </row>
    <row r="57" spans="1:10" ht="12.75">
      <c r="A57" s="48" t="s">
        <v>121</v>
      </c>
      <c r="B57" s="49">
        <f>B55/B56</f>
        <v>22.166666666666668</v>
      </c>
      <c r="C57" s="49">
        <f>C55/C56</f>
        <v>23.81346153846154</v>
      </c>
      <c r="D57" s="49">
        <f>D55/D56</f>
        <v>25.867605978260872</v>
      </c>
      <c r="E57" s="121">
        <f>E55/E56</f>
        <v>27.428948144230773</v>
      </c>
      <c r="F57" s="19"/>
      <c r="I57" s="42"/>
      <c r="J57" s="77">
        <f>SUM(J53:J56)</f>
        <v>1700</v>
      </c>
    </row>
    <row r="58" spans="1:10" ht="12.75">
      <c r="A58" s="48" t="s">
        <v>122</v>
      </c>
      <c r="B58" s="69">
        <f>((1+$D$32)*30)/2</f>
        <v>30</v>
      </c>
      <c r="C58" s="69">
        <f>((1+$D$32)*30)/2</f>
        <v>30</v>
      </c>
      <c r="D58" s="69">
        <f>((1+$D$32)*30)/2</f>
        <v>30</v>
      </c>
      <c r="E58" s="122">
        <f>((1+$D$32)*30)/2</f>
        <v>30</v>
      </c>
      <c r="F58" s="109"/>
      <c r="I58" s="42"/>
      <c r="J58" s="77"/>
    </row>
    <row r="59" spans="1:10" ht="13.5" thickBot="1">
      <c r="A59" s="50" t="s">
        <v>123</v>
      </c>
      <c r="B59" s="51">
        <f>IF(B56&gt;B58,B57*B58,B55)</f>
        <v>665</v>
      </c>
      <c r="C59" s="51">
        <f>IF(C56&gt;C58,C57*C58,IF(C58&lt;60,C55+B55*(B58-30)/B56,C55+B55))</f>
        <v>714.4038461538462</v>
      </c>
      <c r="D59" s="51">
        <f>IF(D56&gt;D58,D57*D58,IF(D58&lt;60,D55+C55*(C58-30)/C56,IF(D58&lt;90,D55+C55+(D58-60)/D56*B55,D55+C55+B55)))</f>
        <v>776.0281793478262</v>
      </c>
      <c r="E59" s="123">
        <f>IF(E56&gt;E58,E57*E58,IF(E58&lt;60,E55+D55*(D58-30)/D56,IF(E58&lt;90,E55+D55+(E58-60)/C56*C55,IF(E58&lt;120,E55+D55+C55+(E58-90)/B56*B55,E55+D55+C55+B55))))</f>
        <v>822.8684443269232</v>
      </c>
      <c r="F59" s="113"/>
      <c r="I59" s="42" t="s">
        <v>154</v>
      </c>
      <c r="J59" s="185">
        <v>200</v>
      </c>
    </row>
    <row r="60" spans="1:10" ht="12.75">
      <c r="A60" s="41" t="s">
        <v>31</v>
      </c>
      <c r="B60" s="57">
        <v>200</v>
      </c>
      <c r="C60" s="98">
        <f>B63</f>
        <v>665</v>
      </c>
      <c r="D60" s="98">
        <f>C63</f>
        <v>714.4038461538462</v>
      </c>
      <c r="E60" s="124">
        <f>D63</f>
        <v>776.0281793478262</v>
      </c>
      <c r="F60" s="113"/>
      <c r="I60" s="42" t="s">
        <v>155</v>
      </c>
      <c r="J60" s="185">
        <v>1500</v>
      </c>
    </row>
    <row r="61" spans="1:10" ht="12.75">
      <c r="A61" s="42" t="s">
        <v>26</v>
      </c>
      <c r="B61" s="89">
        <f>B55</f>
        <v>1995</v>
      </c>
      <c r="C61" s="89">
        <f>C55</f>
        <v>2167.025</v>
      </c>
      <c r="D61" s="89">
        <f>D55</f>
        <v>2379.81975</v>
      </c>
      <c r="E61" s="125">
        <f>E55</f>
        <v>2496.0342811250002</v>
      </c>
      <c r="F61" s="115"/>
      <c r="I61" s="63" t="s">
        <v>66</v>
      </c>
      <c r="J61" s="186"/>
    </row>
    <row r="62" spans="1:10" ht="13.5" thickBot="1">
      <c r="A62" s="42" t="s">
        <v>32</v>
      </c>
      <c r="B62" s="58">
        <f>B60+B61-B63</f>
        <v>1530</v>
      </c>
      <c r="C62" s="138">
        <f>C60+C61-C63</f>
        <v>2117.621153846154</v>
      </c>
      <c r="D62" s="138">
        <f>D60+D61-D63</f>
        <v>2318.19541680602</v>
      </c>
      <c r="E62" s="140">
        <f>E60+E61-E63</f>
        <v>2449.1940161459033</v>
      </c>
      <c r="F62" s="114"/>
      <c r="I62" s="64"/>
      <c r="J62" s="183">
        <f>SUM(J59:J61)</f>
        <v>1700</v>
      </c>
    </row>
    <row r="63" spans="1:5" ht="13.5" thickBot="1">
      <c r="A63" s="50" t="s">
        <v>33</v>
      </c>
      <c r="B63" s="51">
        <f>B59</f>
        <v>665</v>
      </c>
      <c r="C63" s="51">
        <f>C59</f>
        <v>714.4038461538462</v>
      </c>
      <c r="D63" s="51">
        <f>D59</f>
        <v>776.0281793478262</v>
      </c>
      <c r="E63" s="123">
        <f>E59</f>
        <v>822.8684443269232</v>
      </c>
    </row>
    <row r="64" spans="2:6" ht="13.5" thickBot="1">
      <c r="B64" s="38"/>
      <c r="F64" s="19"/>
    </row>
    <row r="65" spans="1:6" ht="13.5" thickBot="1">
      <c r="A65" s="39" t="s">
        <v>18</v>
      </c>
      <c r="B65" s="40" t="str">
        <f>$B$6</f>
        <v>Trim 1</v>
      </c>
      <c r="C65" s="40" t="str">
        <f>$C$6</f>
        <v>Trim 2</v>
      </c>
      <c r="D65" s="40" t="str">
        <f>$D$6</f>
        <v>Trim 3</v>
      </c>
      <c r="E65" s="84" t="str">
        <f>$E$6</f>
        <v>Trim 4</v>
      </c>
      <c r="F65" s="19"/>
    </row>
    <row r="66" spans="1:6" ht="12.75">
      <c r="A66" s="59" t="s">
        <v>133</v>
      </c>
      <c r="B66" s="141">
        <f aca="true" t="shared" si="10" ref="B66:E67">B38</f>
        <v>100</v>
      </c>
      <c r="C66" s="141">
        <f t="shared" si="10"/>
        <v>120</v>
      </c>
      <c r="D66" s="141">
        <f t="shared" si="10"/>
        <v>130</v>
      </c>
      <c r="E66" s="142">
        <f t="shared" si="10"/>
        <v>140</v>
      </c>
      <c r="F66" s="19"/>
    </row>
    <row r="67" spans="1:6" ht="12.75">
      <c r="A67" s="59" t="s">
        <v>134</v>
      </c>
      <c r="B67" s="56">
        <f t="shared" si="10"/>
        <v>570</v>
      </c>
      <c r="C67" s="56">
        <f t="shared" si="10"/>
        <v>610</v>
      </c>
      <c r="D67" s="56">
        <f t="shared" si="10"/>
        <v>660</v>
      </c>
      <c r="E67" s="139">
        <f t="shared" si="10"/>
        <v>682</v>
      </c>
      <c r="F67" s="19"/>
    </row>
    <row r="68" spans="1:6" ht="12.75">
      <c r="A68" s="59" t="s">
        <v>135</v>
      </c>
      <c r="B68" s="56">
        <f>B66+B67</f>
        <v>670</v>
      </c>
      <c r="C68" s="56">
        <f>C66+C67</f>
        <v>730</v>
      </c>
      <c r="D68" s="56">
        <f>D66+D67</f>
        <v>790</v>
      </c>
      <c r="E68" s="139">
        <f>E66+E67</f>
        <v>822</v>
      </c>
      <c r="F68" s="113"/>
    </row>
    <row r="69" spans="1:6" ht="12.75">
      <c r="A69" s="41" t="s">
        <v>19</v>
      </c>
      <c r="B69" s="57">
        <v>650</v>
      </c>
      <c r="C69" s="98">
        <f>B76</f>
        <v>709.5582089552239</v>
      </c>
      <c r="D69" s="98">
        <f>C76</f>
        <v>766.9678933755878</v>
      </c>
      <c r="E69" s="124">
        <f>D76</f>
        <v>836.0071075602308</v>
      </c>
      <c r="F69" s="113"/>
    </row>
    <row r="70" spans="1:6" ht="12.75">
      <c r="A70" s="42" t="s">
        <v>111</v>
      </c>
      <c r="B70" s="89">
        <f>B45</f>
        <v>3311.7</v>
      </c>
      <c r="C70" s="89">
        <f>C45</f>
        <v>3597.2615</v>
      </c>
      <c r="D70" s="89">
        <f>D45</f>
        <v>3950.500785</v>
      </c>
      <c r="E70" s="125">
        <f>E45</f>
        <v>4143.4169066675</v>
      </c>
      <c r="F70" s="113"/>
    </row>
    <row r="71" spans="1:6" ht="12.75">
      <c r="A71" s="42" t="s">
        <v>20</v>
      </c>
      <c r="B71" s="89">
        <f>B69+B70</f>
        <v>3961.7</v>
      </c>
      <c r="C71" s="89">
        <f>C69+C70</f>
        <v>4306.819708955224</v>
      </c>
      <c r="D71" s="89">
        <f>D69+D70</f>
        <v>4717.468678375588</v>
      </c>
      <c r="E71" s="125">
        <f>E69+E70</f>
        <v>4979.424014227731</v>
      </c>
      <c r="F71" s="113"/>
    </row>
    <row r="72" spans="1:6" ht="12.75">
      <c r="A72" s="42" t="s">
        <v>21</v>
      </c>
      <c r="B72" s="89">
        <f>B71/B68</f>
        <v>5.9129850746268655</v>
      </c>
      <c r="C72" s="89">
        <f>C71/C68</f>
        <v>5.89975302596606</v>
      </c>
      <c r="D72" s="89">
        <f>D71/D68</f>
        <v>5.971479339715934</v>
      </c>
      <c r="E72" s="125">
        <f>E71/E68</f>
        <v>6.05769344796561</v>
      </c>
      <c r="F72" s="107"/>
    </row>
    <row r="73" spans="1:6" ht="12.75">
      <c r="A73" s="42" t="s">
        <v>22</v>
      </c>
      <c r="B73" s="69">
        <f>B7</f>
        <v>550</v>
      </c>
      <c r="C73" s="69">
        <f>C7</f>
        <v>600</v>
      </c>
      <c r="D73" s="69">
        <f>D7</f>
        <v>650</v>
      </c>
      <c r="E73" s="122">
        <f>E7</f>
        <v>700</v>
      </c>
      <c r="F73" s="114"/>
    </row>
    <row r="74" spans="1:6" ht="13.5" thickBot="1">
      <c r="A74" s="50" t="s">
        <v>23</v>
      </c>
      <c r="B74" s="51">
        <f>B72*B73</f>
        <v>3252.1417910447763</v>
      </c>
      <c r="C74" s="51">
        <f>C72*C73</f>
        <v>3539.851815579636</v>
      </c>
      <c r="D74" s="51">
        <f>D72*D73</f>
        <v>3881.461570815357</v>
      </c>
      <c r="E74" s="123">
        <f>E72*E73</f>
        <v>4240.385413575927</v>
      </c>
      <c r="F74" s="107"/>
    </row>
    <row r="75" spans="1:6" ht="12.75">
      <c r="A75" s="42" t="s">
        <v>132</v>
      </c>
      <c r="B75" s="69">
        <f>B37</f>
        <v>120</v>
      </c>
      <c r="C75" s="69">
        <f>C37</f>
        <v>130</v>
      </c>
      <c r="D75" s="69">
        <f>D37</f>
        <v>140</v>
      </c>
      <c r="E75" s="122">
        <f>E37</f>
        <v>122</v>
      </c>
      <c r="F75" s="114"/>
    </row>
    <row r="76" spans="1:5" ht="13.5" thickBot="1">
      <c r="A76" s="50" t="s">
        <v>136</v>
      </c>
      <c r="B76" s="51">
        <f>B72*B75</f>
        <v>709.5582089552239</v>
      </c>
      <c r="C76" s="51">
        <f>C72*C75</f>
        <v>766.9678933755878</v>
      </c>
      <c r="D76" s="51">
        <f>D72*D75</f>
        <v>836.0071075602308</v>
      </c>
      <c r="E76" s="123">
        <f>E72*E75</f>
        <v>739.0386006518044</v>
      </c>
    </row>
    <row r="77" ht="13.5" thickBot="1">
      <c r="F77" s="143" t="s">
        <v>143</v>
      </c>
    </row>
    <row r="78" spans="1:6" ht="13.5" thickBot="1">
      <c r="A78" s="39" t="s">
        <v>28</v>
      </c>
      <c r="B78" s="40" t="str">
        <f>$B$6</f>
        <v>Trim 1</v>
      </c>
      <c r="C78" s="40" t="str">
        <f>$C$6</f>
        <v>Trim 2</v>
      </c>
      <c r="D78" s="40" t="str">
        <f>$D$6</f>
        <v>Trim 3</v>
      </c>
      <c r="E78" s="84" t="str">
        <f>$E$6</f>
        <v>Trim 4</v>
      </c>
      <c r="F78" s="144">
        <v>0.7</v>
      </c>
    </row>
    <row r="79" spans="1:6" ht="13.5" thickBot="1">
      <c r="A79" s="60" t="s">
        <v>52</v>
      </c>
      <c r="B79" s="161">
        <f>B81*$F$78</f>
        <v>700</v>
      </c>
      <c r="C79" s="161">
        <f>C81*$F$78</f>
        <v>630</v>
      </c>
      <c r="D79" s="161">
        <f>D81*$F$78</f>
        <v>665</v>
      </c>
      <c r="E79" s="162">
        <f>E81*$F$78</f>
        <v>840</v>
      </c>
      <c r="F79" s="145">
        <v>0.3</v>
      </c>
    </row>
    <row r="80" spans="1:6" ht="12.75">
      <c r="A80" s="53" t="s">
        <v>53</v>
      </c>
      <c r="B80" s="89">
        <f>B81*$F$79</f>
        <v>300</v>
      </c>
      <c r="C80" s="89">
        <f>C81*$F$79</f>
        <v>270</v>
      </c>
      <c r="D80" s="89">
        <f>D81*$F$79</f>
        <v>285</v>
      </c>
      <c r="E80" s="89">
        <f>E81*$F$79</f>
        <v>360</v>
      </c>
      <c r="F80" s="116"/>
    </row>
    <row r="81" spans="1:5" ht="13.5" thickBot="1">
      <c r="A81" s="50" t="s">
        <v>29</v>
      </c>
      <c r="B81" s="146">
        <v>1000</v>
      </c>
      <c r="C81" s="146">
        <v>900</v>
      </c>
      <c r="D81" s="146">
        <v>950</v>
      </c>
      <c r="E81" s="147">
        <v>1200</v>
      </c>
    </row>
    <row r="83" ht="13.5" thickBot="1">
      <c r="F83" s="19"/>
    </row>
    <row r="84" spans="1:6" ht="13.5" thickBot="1">
      <c r="A84" s="39" t="s">
        <v>24</v>
      </c>
      <c r="B84" s="40" t="str">
        <f>$B$6</f>
        <v>Trim 1</v>
      </c>
      <c r="C84" s="40" t="str">
        <f>$C$6</f>
        <v>Trim 2</v>
      </c>
      <c r="D84" s="40" t="str">
        <f>$D$6</f>
        <v>Trim 3</v>
      </c>
      <c r="E84" s="84" t="str">
        <f>$E$6</f>
        <v>Trim 4</v>
      </c>
      <c r="F84" s="113"/>
    </row>
    <row r="85" spans="1:6" ht="12.75">
      <c r="A85" s="41" t="s">
        <v>25</v>
      </c>
      <c r="B85" s="57">
        <v>0</v>
      </c>
      <c r="C85" s="98">
        <f>B88</f>
        <v>300</v>
      </c>
      <c r="D85" s="98">
        <f>C88</f>
        <v>270</v>
      </c>
      <c r="E85" s="124">
        <f>D88</f>
        <v>285</v>
      </c>
      <c r="F85" s="113"/>
    </row>
    <row r="86" spans="1:6" ht="12.75">
      <c r="A86" s="42" t="s">
        <v>35</v>
      </c>
      <c r="B86" s="89">
        <f>B80</f>
        <v>300</v>
      </c>
      <c r="C86" s="89">
        <f>C80</f>
        <v>270</v>
      </c>
      <c r="D86" s="89">
        <f>D80</f>
        <v>285</v>
      </c>
      <c r="E86" s="125">
        <f>E80</f>
        <v>360</v>
      </c>
      <c r="F86" s="115"/>
    </row>
    <row r="87" spans="1:6" ht="12.75">
      <c r="A87" s="42" t="s">
        <v>27</v>
      </c>
      <c r="B87" s="136">
        <f>B85</f>
        <v>0</v>
      </c>
      <c r="C87" s="136">
        <f>C85</f>
        <v>300</v>
      </c>
      <c r="D87" s="136">
        <f>D85</f>
        <v>270</v>
      </c>
      <c r="E87" s="137">
        <f>E85</f>
        <v>285</v>
      </c>
      <c r="F87" s="113"/>
    </row>
    <row r="88" spans="1:5" ht="13.5" thickBot="1">
      <c r="A88" s="64" t="s">
        <v>34</v>
      </c>
      <c r="B88" s="149">
        <f>B85+B86-B87</f>
        <v>300</v>
      </c>
      <c r="C88" s="149">
        <f>C85+C86-C87</f>
        <v>270</v>
      </c>
      <c r="D88" s="149">
        <f>D85+D86-D87</f>
        <v>285</v>
      </c>
      <c r="E88" s="150">
        <f>E85+E86-E87</f>
        <v>360</v>
      </c>
    </row>
    <row r="89" ht="13.5" thickBot="1">
      <c r="F89" s="19"/>
    </row>
    <row r="90" spans="1:6" ht="13.5" thickBot="1">
      <c r="A90" s="44" t="s">
        <v>103</v>
      </c>
      <c r="B90" s="45"/>
      <c r="C90" s="45"/>
      <c r="D90" s="45"/>
      <c r="E90" s="118"/>
      <c r="F90" s="113"/>
    </row>
    <row r="91" spans="1:6" ht="12.75">
      <c r="A91" s="61" t="s">
        <v>104</v>
      </c>
      <c r="B91" s="148">
        <f>B13</f>
        <v>935.0000000000001</v>
      </c>
      <c r="C91" s="148">
        <f>C13</f>
        <v>1035.3000000000002</v>
      </c>
      <c r="D91" s="148">
        <f>D13</f>
        <v>1138.3986250000003</v>
      </c>
      <c r="E91" s="156">
        <f>E13</f>
        <v>1244.3572662500003</v>
      </c>
      <c r="F91" s="113"/>
    </row>
    <row r="92" spans="1:6" ht="12.75">
      <c r="A92" s="42" t="s">
        <v>105</v>
      </c>
      <c r="B92" s="89">
        <f>B91</f>
        <v>935.0000000000001</v>
      </c>
      <c r="C92" s="89">
        <f>C91</f>
        <v>1035.3000000000002</v>
      </c>
      <c r="D92" s="89">
        <f>D91</f>
        <v>1138.3986250000003</v>
      </c>
      <c r="E92" s="125">
        <f>E91</f>
        <v>1244.3572662500003</v>
      </c>
      <c r="F92" s="115"/>
    </row>
    <row r="93" spans="1:6" ht="12.75">
      <c r="A93" s="42" t="s">
        <v>106</v>
      </c>
      <c r="B93" s="152">
        <f>B44</f>
        <v>678.3000000000001</v>
      </c>
      <c r="C93" s="152">
        <f>C44</f>
        <v>736.7885000000001</v>
      </c>
      <c r="D93" s="152">
        <f>D44</f>
        <v>809.138715</v>
      </c>
      <c r="E93" s="158">
        <f>E44</f>
        <v>848.6516555825001</v>
      </c>
      <c r="F93" s="113"/>
    </row>
    <row r="94" spans="1:6" ht="12.75">
      <c r="A94" s="42" t="s">
        <v>107</v>
      </c>
      <c r="B94" s="89">
        <f>B92-B93</f>
        <v>256.70000000000005</v>
      </c>
      <c r="C94" s="89">
        <f>C92-C93</f>
        <v>298.51150000000007</v>
      </c>
      <c r="D94" s="89">
        <f>D92-D93</f>
        <v>329.2599100000002</v>
      </c>
      <c r="E94" s="125">
        <f>E92-E93</f>
        <v>395.7056106675002</v>
      </c>
      <c r="F94" s="117"/>
    </row>
    <row r="95" spans="1:6" ht="12.75">
      <c r="A95" s="42" t="s">
        <v>124</v>
      </c>
      <c r="B95" s="62">
        <f>B19</f>
        <v>90</v>
      </c>
      <c r="C95" s="62">
        <f>C19</f>
        <v>91</v>
      </c>
      <c r="D95" s="62">
        <f>D19</f>
        <v>92</v>
      </c>
      <c r="E95" s="159">
        <f>E19</f>
        <v>91</v>
      </c>
      <c r="F95" s="113"/>
    </row>
    <row r="96" spans="1:6" ht="12.75">
      <c r="A96" s="42" t="s">
        <v>125</v>
      </c>
      <c r="B96" s="89">
        <f>B94/B95</f>
        <v>2.8522222222222227</v>
      </c>
      <c r="C96" s="89">
        <f>C94/C95</f>
        <v>3.2803461538461547</v>
      </c>
      <c r="D96" s="89">
        <f>D94/D95</f>
        <v>3.5789120652173936</v>
      </c>
      <c r="E96" s="125">
        <f>E94/E95</f>
        <v>4.348413304038464</v>
      </c>
      <c r="F96" s="117"/>
    </row>
    <row r="97" spans="1:6" ht="12.75">
      <c r="A97" s="42" t="s">
        <v>126</v>
      </c>
      <c r="B97" s="151">
        <v>30</v>
      </c>
      <c r="C97" s="62">
        <f>B97</f>
        <v>30</v>
      </c>
      <c r="D97" s="62">
        <f>C97</f>
        <v>30</v>
      </c>
      <c r="E97" s="159">
        <f>D97</f>
        <v>30</v>
      </c>
      <c r="F97" s="113"/>
    </row>
    <row r="98" spans="1:6" ht="13.5" thickBot="1">
      <c r="A98" s="63" t="s">
        <v>127</v>
      </c>
      <c r="B98" s="153">
        <f>B96*B97</f>
        <v>85.56666666666668</v>
      </c>
      <c r="C98" s="153">
        <f>C96*C97</f>
        <v>98.41038461538464</v>
      </c>
      <c r="D98" s="153">
        <f>D96*D97</f>
        <v>107.3673619565218</v>
      </c>
      <c r="E98" s="160">
        <f>E96*E97</f>
        <v>130.45239912115392</v>
      </c>
      <c r="F98" s="113"/>
    </row>
    <row r="99" spans="1:6" ht="12.75">
      <c r="A99" s="61" t="s">
        <v>128</v>
      </c>
      <c r="B99" s="154">
        <v>0</v>
      </c>
      <c r="C99" s="148">
        <f>B101</f>
        <v>85.56666666666668</v>
      </c>
      <c r="D99" s="148">
        <f>C101</f>
        <v>98.41038461538464</v>
      </c>
      <c r="E99" s="156">
        <f>D101</f>
        <v>107.3673619565218</v>
      </c>
      <c r="F99" s="113"/>
    </row>
    <row r="100" spans="1:6" ht="12.75">
      <c r="A100" s="42" t="s">
        <v>129</v>
      </c>
      <c r="B100" s="89">
        <f>B94</f>
        <v>256.70000000000005</v>
      </c>
      <c r="C100" s="89">
        <f>C94</f>
        <v>298.51150000000007</v>
      </c>
      <c r="D100" s="89">
        <f>D94</f>
        <v>329.2599100000002</v>
      </c>
      <c r="E100" s="125">
        <f>E94</f>
        <v>395.7056106675002</v>
      </c>
      <c r="F100" s="115"/>
    </row>
    <row r="101" spans="1:6" ht="13.5" thickBot="1">
      <c r="A101" s="64" t="s">
        <v>130</v>
      </c>
      <c r="B101" s="155">
        <f>B98</f>
        <v>85.56666666666668</v>
      </c>
      <c r="C101" s="155">
        <f>C98</f>
        <v>98.41038461538464</v>
      </c>
      <c r="D101" s="155">
        <f>D98</f>
        <v>107.3673619565218</v>
      </c>
      <c r="E101" s="157">
        <f>E98</f>
        <v>130.45239912115392</v>
      </c>
      <c r="F101" s="113"/>
    </row>
    <row r="102" spans="1:5" ht="13.5" thickBot="1">
      <c r="A102" s="65" t="s">
        <v>108</v>
      </c>
      <c r="B102" s="163">
        <f>B100-B101</f>
        <v>171.13333333333338</v>
      </c>
      <c r="C102" s="163">
        <f>C99+C100-C101</f>
        <v>285.6677820512821</v>
      </c>
      <c r="D102" s="163">
        <f>D99+D100-D101</f>
        <v>320.3029326588631</v>
      </c>
      <c r="E102" s="164">
        <f>E99+E100-E101</f>
        <v>372.62057350286807</v>
      </c>
    </row>
  </sheetData>
  <mergeCells count="6">
    <mergeCell ref="Y2:AB2"/>
    <mergeCell ref="AC2:AF2"/>
    <mergeCell ref="O29:R29"/>
    <mergeCell ref="O21:R21"/>
    <mergeCell ref="Q2:T2"/>
    <mergeCell ref="U2:X2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12" sqref="B12"/>
    </sheetView>
  </sheetViews>
  <sheetFormatPr defaultColWidth="9.140625" defaultRowHeight="12.75"/>
  <cols>
    <col min="1" max="1" width="45.7109375" style="0" customWidth="1"/>
    <col min="2" max="2" width="10.421875" style="0" customWidth="1"/>
  </cols>
  <sheetData>
    <row r="1" spans="1:2" ht="13.5" thickBot="1">
      <c r="A1" s="663" t="s">
        <v>206</v>
      </c>
      <c r="B1" s="663"/>
    </row>
    <row r="2" spans="1:2" ht="12.75">
      <c r="A2" s="61" t="s">
        <v>179</v>
      </c>
      <c r="B2" s="279">
        <f>'Orçamento Comercial'!B7+'Orçamento Comercial'!C7+'Orçamento Comercial'!D7+'Orçamento Comercial'!E7</f>
        <v>2500</v>
      </c>
    </row>
    <row r="3" spans="1:2" ht="12.75">
      <c r="A3" s="42" t="s">
        <v>207</v>
      </c>
      <c r="B3" s="206">
        <v>3000</v>
      </c>
    </row>
    <row r="4" spans="1:2" ht="12.75">
      <c r="A4" s="42" t="s">
        <v>183</v>
      </c>
      <c r="B4" s="280">
        <f>'Orçamento Comercial'!B1</f>
        <v>10</v>
      </c>
    </row>
    <row r="5" spans="1:2" ht="12.75">
      <c r="A5" s="42" t="s">
        <v>184</v>
      </c>
      <c r="B5" s="280">
        <f>'Orçamento Comercial'!B33</f>
        <v>7</v>
      </c>
    </row>
    <row r="6" spans="1:2" ht="12.75">
      <c r="A6" s="42" t="s">
        <v>208</v>
      </c>
      <c r="B6" s="165">
        <f>B4-B5</f>
        <v>3</v>
      </c>
    </row>
    <row r="7" spans="1:2" ht="12.75">
      <c r="A7" s="42" t="s">
        <v>209</v>
      </c>
      <c r="B7" s="281">
        <f>'Orçamento Comercial'!B21</f>
        <v>60</v>
      </c>
    </row>
    <row r="8" spans="1:2" ht="12.75">
      <c r="A8" s="42" t="s">
        <v>210</v>
      </c>
      <c r="B8" s="206">
        <v>75</v>
      </c>
    </row>
    <row r="9" spans="1:2" ht="12.75">
      <c r="A9" s="42" t="s">
        <v>211</v>
      </c>
      <c r="B9" s="77">
        <f>360/B7</f>
        <v>6</v>
      </c>
    </row>
    <row r="10" spans="1:2" ht="12.75">
      <c r="A10" s="42" t="s">
        <v>212</v>
      </c>
      <c r="B10" s="77">
        <f>360/B8</f>
        <v>4.8</v>
      </c>
    </row>
    <row r="11" spans="1:2" ht="12.75">
      <c r="A11" s="42" t="s">
        <v>213</v>
      </c>
      <c r="B11" s="547">
        <f>Dados!B39</f>
        <v>0.01</v>
      </c>
    </row>
    <row r="12" spans="1:2" ht="12.75">
      <c r="A12" s="42" t="s">
        <v>214</v>
      </c>
      <c r="B12" s="207">
        <v>0.02</v>
      </c>
    </row>
    <row r="13" spans="1:2" ht="12.75">
      <c r="A13" s="42" t="s">
        <v>193</v>
      </c>
      <c r="B13" s="207">
        <v>0.15</v>
      </c>
    </row>
    <row r="14" spans="1:2" ht="12.75">
      <c r="A14" s="205" t="s">
        <v>215</v>
      </c>
      <c r="B14" s="173">
        <f>(B3-B2)*B6</f>
        <v>1500</v>
      </c>
    </row>
    <row r="15" spans="1:2" ht="12.75">
      <c r="A15" s="42" t="s">
        <v>216</v>
      </c>
      <c r="B15" s="165">
        <f>B3*B5/B10</f>
        <v>4375</v>
      </c>
    </row>
    <row r="16" spans="1:2" ht="12.75">
      <c r="A16" s="42" t="s">
        <v>217</v>
      </c>
      <c r="B16" s="165">
        <f>B2*B5/B9</f>
        <v>2916.6666666666665</v>
      </c>
    </row>
    <row r="17" spans="1:2" ht="12.75">
      <c r="A17" s="42" t="s">
        <v>218</v>
      </c>
      <c r="B17" s="165">
        <f>B15-B16</f>
        <v>1458.3333333333335</v>
      </c>
    </row>
    <row r="18" spans="1:2" ht="12.75">
      <c r="A18" s="205" t="s">
        <v>219</v>
      </c>
      <c r="B18" s="175">
        <f>-B17*B13</f>
        <v>-218.75000000000003</v>
      </c>
    </row>
    <row r="19" spans="1:2" ht="12.75">
      <c r="A19" s="42" t="s">
        <v>220</v>
      </c>
      <c r="B19" s="165">
        <f>B12*B4*B3</f>
        <v>600</v>
      </c>
    </row>
    <row r="20" spans="1:2" ht="12.75">
      <c r="A20" s="42" t="s">
        <v>221</v>
      </c>
      <c r="B20" s="165">
        <f>B11*B4*B2</f>
        <v>250</v>
      </c>
    </row>
    <row r="21" spans="1:2" ht="12.75">
      <c r="A21" s="205" t="s">
        <v>222</v>
      </c>
      <c r="B21" s="175">
        <f>-(B19-B20)</f>
        <v>-350</v>
      </c>
    </row>
    <row r="22" spans="1:2" ht="13.5" thickBot="1">
      <c r="A22" s="180" t="s">
        <v>223</v>
      </c>
      <c r="B22" s="182">
        <f>B14+B18+B21</f>
        <v>931.25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18" sqref="D18"/>
    </sheetView>
  </sheetViews>
  <sheetFormatPr defaultColWidth="9.140625" defaultRowHeight="12.75"/>
  <cols>
    <col min="1" max="1" width="40.140625" style="0" customWidth="1"/>
    <col min="3" max="3" width="30.57421875" style="0" customWidth="1"/>
    <col min="4" max="4" width="9.7109375" style="0" bestFit="1" customWidth="1"/>
  </cols>
  <sheetData>
    <row r="1" spans="1:4" ht="13.5" thickBot="1">
      <c r="A1" s="663" t="s">
        <v>205</v>
      </c>
      <c r="B1" s="663"/>
      <c r="C1" s="663"/>
      <c r="D1" s="663"/>
    </row>
    <row r="2" spans="1:4" ht="12.75">
      <c r="A2" s="61" t="s">
        <v>181</v>
      </c>
      <c r="B2" s="277">
        <f>'Relaxamento dos Padrões de Créd'!B2</f>
        <v>2500</v>
      </c>
      <c r="C2" s="75" t="s">
        <v>183</v>
      </c>
      <c r="D2" s="192">
        <f>'Relaxamento dos Padrões de Créd'!B4</f>
        <v>10</v>
      </c>
    </row>
    <row r="3" spans="1:4" ht="12.75">
      <c r="A3" s="42" t="s">
        <v>180</v>
      </c>
      <c r="B3" s="195">
        <v>3000</v>
      </c>
      <c r="C3" s="67" t="s">
        <v>184</v>
      </c>
      <c r="D3" s="165">
        <f>'Relaxamento dos Padrões de Créd'!B5</f>
        <v>7</v>
      </c>
    </row>
    <row r="4" spans="1:4" ht="12.75">
      <c r="A4" s="42" t="s">
        <v>182</v>
      </c>
      <c r="B4" s="67">
        <f>B3-B2</f>
        <v>500</v>
      </c>
      <c r="C4" s="67" t="s">
        <v>185</v>
      </c>
      <c r="D4" s="165">
        <f>D2-D3</f>
        <v>3</v>
      </c>
    </row>
    <row r="5" spans="1:4" ht="12.75">
      <c r="A5" s="203" t="s">
        <v>186</v>
      </c>
      <c r="B5" s="196"/>
      <c r="C5" s="197"/>
      <c r="D5" s="173">
        <f>B4*D4</f>
        <v>1500</v>
      </c>
    </row>
    <row r="6" spans="1:4" ht="12.75">
      <c r="A6" s="42" t="s">
        <v>187</v>
      </c>
      <c r="B6" s="276">
        <f>'Relaxamento dos Padrões de Créd'!B7</f>
        <v>60</v>
      </c>
      <c r="C6" s="67" t="s">
        <v>189</v>
      </c>
      <c r="D6" s="77">
        <f>360/B6</f>
        <v>6</v>
      </c>
    </row>
    <row r="7" spans="1:4" ht="12.75">
      <c r="A7" s="42" t="s">
        <v>188</v>
      </c>
      <c r="B7" s="195">
        <v>30</v>
      </c>
      <c r="C7" s="67" t="s">
        <v>189</v>
      </c>
      <c r="D7" s="77">
        <f>360/B7</f>
        <v>12</v>
      </c>
    </row>
    <row r="8" spans="1:4" ht="12.75">
      <c r="A8" s="42" t="s">
        <v>190</v>
      </c>
      <c r="B8" s="67"/>
      <c r="C8" s="67"/>
      <c r="D8" s="165">
        <f>D3*B3/D7</f>
        <v>1750</v>
      </c>
    </row>
    <row r="9" spans="1:4" ht="12.75">
      <c r="A9" s="42" t="s">
        <v>191</v>
      </c>
      <c r="B9" s="67"/>
      <c r="C9" s="67"/>
      <c r="D9" s="165">
        <f>D3*B2/D6</f>
        <v>2916.6666666666665</v>
      </c>
    </row>
    <row r="10" spans="1:4" ht="12.75">
      <c r="A10" s="42" t="s">
        <v>192</v>
      </c>
      <c r="B10" s="67"/>
      <c r="C10" s="67"/>
      <c r="D10" s="204">
        <f>D8-D9</f>
        <v>-1166.6666666666665</v>
      </c>
    </row>
    <row r="11" spans="1:4" ht="12.75">
      <c r="A11" s="42" t="s">
        <v>199</v>
      </c>
      <c r="B11" s="199">
        <v>0.15</v>
      </c>
      <c r="C11" s="67"/>
      <c r="D11" s="204"/>
    </row>
    <row r="12" spans="1:4" ht="12.75">
      <c r="A12" s="205" t="s">
        <v>198</v>
      </c>
      <c r="B12" s="200"/>
      <c r="C12" s="189" t="s">
        <v>198</v>
      </c>
      <c r="D12" s="173">
        <f>-D10*B11</f>
        <v>174.99999999999997</v>
      </c>
    </row>
    <row r="13" spans="1:4" ht="12.75">
      <c r="A13" s="42" t="s">
        <v>194</v>
      </c>
      <c r="B13" s="278">
        <f>'Relaxamento dos Padrões de Créd'!B11</f>
        <v>0.01</v>
      </c>
      <c r="C13" s="67" t="s">
        <v>196</v>
      </c>
      <c r="D13" s="165">
        <f>B13*D2*B2</f>
        <v>250</v>
      </c>
    </row>
    <row r="14" spans="1:4" ht="12.75">
      <c r="A14" s="42" t="s">
        <v>195</v>
      </c>
      <c r="B14" s="199">
        <v>0.005</v>
      </c>
      <c r="C14" s="67" t="s">
        <v>197</v>
      </c>
      <c r="D14" s="165">
        <f>B14*D2*B3</f>
        <v>150</v>
      </c>
    </row>
    <row r="15" spans="1:4" ht="12.75">
      <c r="A15" s="205" t="s">
        <v>200</v>
      </c>
      <c r="B15" s="189"/>
      <c r="C15" s="189"/>
      <c r="D15" s="173">
        <f>-(D14-D13)</f>
        <v>100</v>
      </c>
    </row>
    <row r="16" spans="1:4" ht="12.75">
      <c r="A16" s="42" t="s">
        <v>201</v>
      </c>
      <c r="B16" s="201">
        <v>0.02</v>
      </c>
      <c r="C16" s="67"/>
      <c r="D16" s="77"/>
    </row>
    <row r="17" spans="1:4" ht="12.75">
      <c r="A17" s="42" t="s">
        <v>203</v>
      </c>
      <c r="B17" s="201">
        <v>0.6</v>
      </c>
      <c r="C17" s="67"/>
      <c r="D17" s="77"/>
    </row>
    <row r="18" spans="1:4" ht="12.75">
      <c r="A18" s="205" t="s">
        <v>202</v>
      </c>
      <c r="B18" s="189"/>
      <c r="C18" s="189"/>
      <c r="D18" s="175">
        <f>-B16*B17*D2*B3</f>
        <v>-360</v>
      </c>
    </row>
    <row r="19" spans="1:4" ht="13.5" thickBot="1">
      <c r="A19" s="180" t="s">
        <v>204</v>
      </c>
      <c r="B19" s="181"/>
      <c r="C19" s="181"/>
      <c r="D19" s="182">
        <f>D5+D12+D15+D18</f>
        <v>1415</v>
      </c>
    </row>
    <row r="29" ht="12.75">
      <c r="G29" t="s">
        <v>178</v>
      </c>
    </row>
  </sheetData>
  <mergeCells count="1">
    <mergeCell ref="A1:D1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6" sqref="B6"/>
    </sheetView>
  </sheetViews>
  <sheetFormatPr defaultColWidth="9.140625" defaultRowHeight="12.75"/>
  <cols>
    <col min="1" max="1" width="42.28125" style="0" customWidth="1"/>
  </cols>
  <sheetData>
    <row r="1" spans="1:2" ht="13.5" thickBot="1">
      <c r="A1" s="663" t="s">
        <v>230</v>
      </c>
      <c r="B1" s="663"/>
    </row>
    <row r="2" spans="1:2" ht="12.75">
      <c r="A2" s="61" t="s">
        <v>224</v>
      </c>
      <c r="B2" s="208">
        <v>0.02</v>
      </c>
    </row>
    <row r="3" spans="1:2" ht="12.75">
      <c r="A3" s="42" t="s">
        <v>225</v>
      </c>
      <c r="B3" s="206">
        <v>10</v>
      </c>
    </row>
    <row r="4" spans="1:2" ht="12.75">
      <c r="A4" s="42" t="s">
        <v>226</v>
      </c>
      <c r="B4" s="206">
        <v>30</v>
      </c>
    </row>
    <row r="5" spans="1:2" ht="12.75">
      <c r="A5" s="42" t="s">
        <v>227</v>
      </c>
      <c r="B5" s="202">
        <v>1000</v>
      </c>
    </row>
    <row r="6" spans="1:2" ht="12.75">
      <c r="A6" s="205" t="s">
        <v>228</v>
      </c>
      <c r="B6" s="173">
        <f>(B2*B5)/(B5-B2*B5)*B5*360/(B4-B3)</f>
        <v>367.34693877551024</v>
      </c>
    </row>
    <row r="7" spans="1:2" ht="13.5" thickBot="1">
      <c r="A7" s="180" t="s">
        <v>229</v>
      </c>
      <c r="B7" s="176">
        <f>(B5*B2)/(B5-B5*B2)*360/(B4-B3)</f>
        <v>0.36734693877551017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Usuário</cp:lastModifiedBy>
  <cp:lastPrinted>2007-04-18T21:46:56Z</cp:lastPrinted>
  <dcterms:created xsi:type="dcterms:W3CDTF">2005-09-26T23:52:41Z</dcterms:created>
  <dcterms:modified xsi:type="dcterms:W3CDTF">2010-08-27T02:25:47Z</dcterms:modified>
  <cp:category/>
  <cp:version/>
  <cp:contentType/>
  <cp:contentStatus/>
</cp:coreProperties>
</file>