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<sst xmlns="http://schemas.openxmlformats.org/spreadsheetml/2006/main" count="204" uniqueCount="149">
  <si>
    <t>Orcamento de Vendas</t>
  </si>
  <si>
    <t>Vendas a Vista</t>
  </si>
  <si>
    <t>Vendas a Prazo</t>
  </si>
  <si>
    <t>Vendas Totais</t>
  </si>
  <si>
    <t>Fev</t>
  </si>
  <si>
    <t>Mar</t>
  </si>
  <si>
    <t>Abr</t>
  </si>
  <si>
    <t>Preco de Venda Unitario (R$)</t>
  </si>
  <si>
    <t>Condicoes de Venda</t>
  </si>
  <si>
    <t>A Vista</t>
  </si>
  <si>
    <t>A Prazo</t>
  </si>
  <si>
    <t>%</t>
  </si>
  <si>
    <t>Quantidade Projetada (Unidades)</t>
  </si>
  <si>
    <t>Orcamento de Contas a Receber</t>
  </si>
  <si>
    <t>Saldo Inicial</t>
  </si>
  <si>
    <t>(+) Contas a Receber do Preriodo</t>
  </si>
  <si>
    <t>(-) Contas a Receber Recebidas no Periodo</t>
  </si>
  <si>
    <t>(=) Saldo Final de Contas a receber</t>
  </si>
  <si>
    <t>vezes</t>
  </si>
  <si>
    <t>Condicoes de Compra</t>
  </si>
  <si>
    <t>Orcamento de Compras</t>
  </si>
  <si>
    <t>Vendas</t>
  </si>
  <si>
    <t>(+) Estoque Final</t>
  </si>
  <si>
    <t>(-) Estoque Inicial</t>
  </si>
  <si>
    <t>(=) Compras (Unidades)</t>
  </si>
  <si>
    <t>Preco de Compra</t>
  </si>
  <si>
    <t>Preco de Compra Unitario</t>
  </si>
  <si>
    <t>Compras Totais</t>
  </si>
  <si>
    <t>Orcamento do CMV</t>
  </si>
  <si>
    <t>Valor Estoque Inicial</t>
  </si>
  <si>
    <t>Total</t>
  </si>
  <si>
    <t>Custo Unitario Medio</t>
  </si>
  <si>
    <t>Quantidade Vendida</t>
  </si>
  <si>
    <t>CMV</t>
  </si>
  <si>
    <t>Orcamento de Contas a Pagar</t>
  </si>
  <si>
    <t>Saldo Inicial de Contas a Pagar</t>
  </si>
  <si>
    <t>(+) Compras a Prazo no Periodo</t>
  </si>
  <si>
    <t>(-) Contas a Pagar Pagas no Periodo</t>
  </si>
  <si>
    <t>% do valor a vista</t>
  </si>
  <si>
    <t>Orcamento de Despesas</t>
  </si>
  <si>
    <t>Orcamento de Fornecedores a Pagar</t>
  </si>
  <si>
    <t>Saldo Inicial de Fornecedores a Pagar</t>
  </si>
  <si>
    <t>(-) Fornecedores a Pagar Pagos no Periodo</t>
  </si>
  <si>
    <t>(=) Saldo Final de Fornecedores a Pagar no Periodo</t>
  </si>
  <si>
    <t>(=) Saldo Final de Contas a Pagar</t>
  </si>
  <si>
    <t>(+) Contas a Pagar do Periodo</t>
  </si>
  <si>
    <t>Orcamento de Caixa</t>
  </si>
  <si>
    <t>Entradas</t>
  </si>
  <si>
    <t>Contas a Receber</t>
  </si>
  <si>
    <t>Saidas</t>
  </si>
  <si>
    <t>Contas a Pagar</t>
  </si>
  <si>
    <t>Fornecedores a Pagar</t>
  </si>
  <si>
    <t>Saldo Inicial de Caixa</t>
  </si>
  <si>
    <t>(+) Saldo de Caixa do Periodo</t>
  </si>
  <si>
    <t>(=) Saldo de Caixa Parcial</t>
  </si>
  <si>
    <t>(+) Captacoes de Recursos</t>
  </si>
  <si>
    <t>(-) Aplicacoes de Recursos</t>
  </si>
  <si>
    <t>(+) Politica de Caixa da Empresa</t>
  </si>
  <si>
    <t>(=) Saldo Final de Caixa</t>
  </si>
  <si>
    <t>Despesas Pagas a Vista</t>
  </si>
  <si>
    <t>Compras a Vista</t>
  </si>
  <si>
    <t>Compras a Prazo</t>
  </si>
  <si>
    <t>Despesas a Vista</t>
  </si>
  <si>
    <t>Despesas a Prazo</t>
  </si>
  <si>
    <t>DRE Projetado</t>
  </si>
  <si>
    <t xml:space="preserve">Vendas </t>
  </si>
  <si>
    <t>(-) CMV</t>
  </si>
  <si>
    <t>Lucro Bruto</t>
  </si>
  <si>
    <t>(-) Despesas</t>
  </si>
  <si>
    <t>Lucro Liquido</t>
  </si>
  <si>
    <t>BP Projetado</t>
  </si>
  <si>
    <t>Ativo</t>
  </si>
  <si>
    <t>Caixa</t>
  </si>
  <si>
    <t>Estoques</t>
  </si>
  <si>
    <t>Passivo</t>
  </si>
  <si>
    <t>Emprestimos a Pagar</t>
  </si>
  <si>
    <t>PL</t>
  </si>
  <si>
    <t>Lucros Acumulados</t>
  </si>
  <si>
    <t>IGP-M Final</t>
  </si>
  <si>
    <t xml:space="preserve">IGP-M Medio </t>
  </si>
  <si>
    <t>IGP-M Final Acumulado</t>
  </si>
  <si>
    <t>IGP-M Medio Acumulado</t>
  </si>
  <si>
    <t>1 Trim</t>
  </si>
  <si>
    <t>2 Trim</t>
  </si>
  <si>
    <t>3 Trim</t>
  </si>
  <si>
    <t>4 Trim</t>
  </si>
  <si>
    <t>Orcamento de Invest</t>
  </si>
  <si>
    <t>Orcam de Invest c/ Corr Monet</t>
  </si>
  <si>
    <t>(+) Aquisicoes do Periodo</t>
  </si>
  <si>
    <t>(=) Saldo Final de Investim</t>
  </si>
  <si>
    <t>Investimento Inicial</t>
  </si>
  <si>
    <t xml:space="preserve">Investimento Inicial Corrigido </t>
  </si>
  <si>
    <t>(+) Aquisicoes do Periodo (IGP-M Medio)</t>
  </si>
  <si>
    <t>(=) Saldo Final de Investim (IGP-M Final)</t>
  </si>
  <si>
    <t>Orcam de Depreciacao</t>
  </si>
  <si>
    <t>Saldo Inicial de Depreciacao Acum</t>
  </si>
  <si>
    <t>(=) Saldo Final de Depreciacao</t>
  </si>
  <si>
    <t>(+) Correcao Monetaria do Investim</t>
  </si>
  <si>
    <t>(+) Correcao Monetaria da Depreciacao</t>
  </si>
  <si>
    <t>Orcamento de Correcao Monetaria</t>
  </si>
  <si>
    <t>Correcao Monetaria dos Investimentos</t>
  </si>
  <si>
    <t xml:space="preserve">(-) Correcao Monetaria da Depreciacao </t>
  </si>
  <si>
    <t>(=) Correcao Monetaria Total</t>
  </si>
  <si>
    <t>ou</t>
  </si>
  <si>
    <t>(+) Depreciacao do Trimestre (IGP-M Medio)</t>
  </si>
  <si>
    <t>Orcam de Depreciacao c/ Corr Monet</t>
  </si>
  <si>
    <t xml:space="preserve">(+) Depreciacao do Trimestre </t>
  </si>
  <si>
    <t>(=) Saldo Final de Depreciacao (IGP-M Final)</t>
  </si>
  <si>
    <t>Depreciacao Anual</t>
  </si>
  <si>
    <t>Se o investimento 'e fixado a unidade de investimento</t>
  </si>
  <si>
    <t>Se o investimento 'e fixado ao R$ disponibilizado</t>
  </si>
  <si>
    <t>ICMS sobre compras ( ICMS a Recuperar)</t>
  </si>
  <si>
    <t>ICMS sobre Vendas (ICMS a Pagar Bruto)</t>
  </si>
  <si>
    <t>Orcamento de Tributos</t>
  </si>
  <si>
    <t>ICMS</t>
  </si>
  <si>
    <t>ICMS a Pagar</t>
  </si>
  <si>
    <t>(-) ICMS a Recuperar</t>
  </si>
  <si>
    <t>(=) ICMS a Pagar Liquido</t>
  </si>
  <si>
    <t>ICMS Recolhido no Periodo</t>
  </si>
  <si>
    <t>ICMS a Recuperar</t>
  </si>
  <si>
    <t>(-) ICMS Bruto</t>
  </si>
  <si>
    <t>(+) Valor das Compras Liquido (Sem ICMS)</t>
  </si>
  <si>
    <t>Valor das Compras Liquido</t>
  </si>
  <si>
    <t>MODELO SIMPLIFICADO DE ORCAMENTO</t>
  </si>
  <si>
    <t>Jan</t>
  </si>
  <si>
    <t>Quantidade Estoque Inicial</t>
  </si>
  <si>
    <t>(+) Quantidade Compras</t>
  </si>
  <si>
    <t>(=) Saldo Quantidade Parcial</t>
  </si>
  <si>
    <t>Quantidade Estoque Final</t>
  </si>
  <si>
    <t>Valor Estoque Final</t>
  </si>
  <si>
    <t>Despesas Comerciais</t>
  </si>
  <si>
    <t>(+) Despesas Administrativas</t>
  </si>
  <si>
    <t>(=) Despesas Gerais (R$)</t>
  </si>
  <si>
    <t>Jun</t>
  </si>
  <si>
    <t>Jul</t>
  </si>
  <si>
    <t>Ago</t>
  </si>
  <si>
    <t>Set</t>
  </si>
  <si>
    <t>Preco de Venda Unitario (R$) Inicial</t>
  </si>
  <si>
    <t>Inflacao IGP-M a.m.</t>
  </si>
  <si>
    <t>Dados de Entrada</t>
  </si>
  <si>
    <t>IPI</t>
  </si>
  <si>
    <t>Faturamento Bruto</t>
  </si>
  <si>
    <t>IPI sobre compras (IPI a Recuperar)</t>
  </si>
  <si>
    <t>Compras Brutas</t>
  </si>
  <si>
    <t>IPI a Pagar</t>
  </si>
  <si>
    <t>(-) IPI a Recuperar</t>
  </si>
  <si>
    <t>(=) IPI a Pagar Liquido</t>
  </si>
  <si>
    <t>IPI Recolhido no Periodo</t>
  </si>
  <si>
    <t>IPI Recolhido no Período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</si>
</sst>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_);[Red]\(0.00\)"/>
    <numFmt numFmtId="169" formatCode="0.0%"/>
    <numFmt numFmtId="170" formatCode="_(* #,##0.0_);_(* \(#,##0.0\);_(* &quot;-&quot;??_);_(@_)"/>
    <numFmt numFmtId="171" formatCode="0.000000"/>
    <numFmt numFmtId="172" formatCode="0.0000000"/>
    <numFmt numFmtId="173" formatCode="0.00000000"/>
    <numFmt numFmtId="174" formatCode="0.000000000"/>
  </numFmts>
  <fonts count="8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2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168" fontId="1" fillId="0" borderId="1" xfId="0" applyNumberFormat="1" applyFon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3" xfId="0" applyNumberForma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8" fontId="3" fillId="0" borderId="1" xfId="0" applyNumberFormat="1" applyFont="1" applyBorder="1" applyAlignment="1">
      <alignment/>
    </xf>
    <xf numFmtId="168" fontId="3" fillId="0" borderId="5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168" fontId="2" fillId="0" borderId="5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169" fontId="0" fillId="0" borderId="0" xfId="0" applyNumberFormat="1" applyAlignment="1">
      <alignment/>
    </xf>
    <xf numFmtId="169" fontId="4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0" fontId="0" fillId="0" borderId="21" xfId="0" applyBorder="1" applyAlignment="1">
      <alignment/>
    </xf>
    <xf numFmtId="169" fontId="4" fillId="0" borderId="3" xfId="0" applyNumberFormat="1" applyFont="1" applyBorder="1" applyAlignment="1">
      <alignment/>
    </xf>
    <xf numFmtId="169" fontId="1" fillId="0" borderId="3" xfId="0" applyNumberFormat="1" applyFont="1" applyBorder="1" applyAlignment="1">
      <alignment/>
    </xf>
    <xf numFmtId="169" fontId="1" fillId="0" borderId="5" xfId="0" applyNumberFormat="1" applyFont="1" applyBorder="1" applyAlignment="1">
      <alignment/>
    </xf>
    <xf numFmtId="169" fontId="1" fillId="0" borderId="6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169" fontId="4" fillId="0" borderId="11" xfId="0" applyNumberFormat="1" applyFont="1" applyBorder="1" applyAlignment="1">
      <alignment/>
    </xf>
    <xf numFmtId="169" fontId="4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3" fillId="0" borderId="4" xfId="0" applyNumberFormat="1" applyFont="1" applyBorder="1" applyAlignment="1">
      <alignment/>
    </xf>
    <xf numFmtId="168" fontId="0" fillId="0" borderId="7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2" fontId="0" fillId="3" borderId="1" xfId="0" applyNumberFormat="1" applyFont="1" applyFill="1" applyBorder="1" applyAlignment="1">
      <alignment/>
    </xf>
    <xf numFmtId="2" fontId="3" fillId="3" borderId="24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24" xfId="0" applyFont="1" applyBorder="1" applyAlignment="1">
      <alignment/>
    </xf>
    <xf numFmtId="10" fontId="1" fillId="0" borderId="1" xfId="0" applyNumberFormat="1" applyFont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43" fontId="0" fillId="3" borderId="26" xfId="15" applyNumberFormat="1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9" xfId="0" applyFill="1" applyBorder="1" applyAlignment="1">
      <alignment/>
    </xf>
    <xf numFmtId="10" fontId="1" fillId="0" borderId="3" xfId="0" applyNumberFormat="1" applyFont="1" applyBorder="1" applyAlignment="1">
      <alignment/>
    </xf>
    <xf numFmtId="0" fontId="0" fillId="3" borderId="30" xfId="0" applyFill="1" applyBorder="1" applyAlignment="1">
      <alignment/>
    </xf>
    <xf numFmtId="8" fontId="1" fillId="0" borderId="31" xfId="0" applyNumberFormat="1" applyFont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21" xfId="0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2" fontId="0" fillId="3" borderId="3" xfId="0" applyNumberFormat="1" applyFont="1" applyFill="1" applyBorder="1" applyAlignment="1">
      <alignment/>
    </xf>
    <xf numFmtId="2" fontId="3" fillId="3" borderId="34" xfId="0" applyNumberFormat="1" applyFont="1" applyFill="1" applyBorder="1" applyAlignment="1">
      <alignment/>
    </xf>
    <xf numFmtId="0" fontId="3" fillId="4" borderId="35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4" borderId="8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19" xfId="0" applyFont="1" applyFill="1" applyBorder="1" applyAlignment="1">
      <alignment/>
    </xf>
    <xf numFmtId="2" fontId="3" fillId="3" borderId="1" xfId="0" applyNumberFormat="1" applyFont="1" applyFill="1" applyBorder="1" applyAlignment="1">
      <alignment/>
    </xf>
    <xf numFmtId="0" fontId="3" fillId="3" borderId="2" xfId="0" applyFont="1" applyFill="1" applyBorder="1" applyAlignment="1">
      <alignment/>
    </xf>
    <xf numFmtId="2" fontId="3" fillId="3" borderId="3" xfId="0" applyNumberFormat="1" applyFont="1" applyFill="1" applyBorder="1" applyAlignment="1">
      <alignment/>
    </xf>
    <xf numFmtId="2" fontId="6" fillId="3" borderId="31" xfId="0" applyNumberFormat="1" applyFont="1" applyFill="1" applyBorder="1" applyAlignment="1">
      <alignment/>
    </xf>
    <xf numFmtId="2" fontId="6" fillId="3" borderId="38" xfId="0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0" fillId="3" borderId="7" xfId="0" applyFill="1" applyBorder="1" applyAlignment="1">
      <alignment/>
    </xf>
    <xf numFmtId="2" fontId="1" fillId="3" borderId="11" xfId="0" applyNumberFormat="1" applyFont="1" applyFill="1" applyBorder="1" applyAlignment="1">
      <alignment/>
    </xf>
    <xf numFmtId="2" fontId="1" fillId="3" borderId="12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2" fontId="7" fillId="3" borderId="1" xfId="0" applyNumberFormat="1" applyFont="1" applyFill="1" applyBorder="1" applyAlignment="1">
      <alignment/>
    </xf>
    <xf numFmtId="2" fontId="7" fillId="3" borderId="3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0" fillId="3" borderId="11" xfId="0" applyNumberFormat="1" applyFont="1" applyFill="1" applyBorder="1" applyAlignment="1">
      <alignment/>
    </xf>
    <xf numFmtId="2" fontId="0" fillId="3" borderId="12" xfId="0" applyNumberFormat="1" applyFont="1" applyFill="1" applyBorder="1" applyAlignment="1">
      <alignment/>
    </xf>
    <xf numFmtId="2" fontId="3" fillId="3" borderId="5" xfId="0" applyNumberFormat="1" applyFont="1" applyFill="1" applyBorder="1" applyAlignment="1">
      <alignment/>
    </xf>
    <xf numFmtId="2" fontId="3" fillId="3" borderId="6" xfId="0" applyNumberFormat="1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2" fontId="0" fillId="3" borderId="24" xfId="0" applyNumberFormat="1" applyFont="1" applyFill="1" applyBorder="1" applyAlignment="1">
      <alignment/>
    </xf>
    <xf numFmtId="2" fontId="0" fillId="3" borderId="39" xfId="0" applyNumberFormat="1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2" fontId="0" fillId="3" borderId="34" xfId="0" applyNumberFormat="1" applyFont="1" applyFill="1" applyBorder="1" applyAlignment="1">
      <alignment/>
    </xf>
    <xf numFmtId="2" fontId="0" fillId="3" borderId="40" xfId="0" applyNumberFormat="1" applyFont="1" applyFill="1" applyBorder="1" applyAlignment="1">
      <alignment/>
    </xf>
    <xf numFmtId="2" fontId="3" fillId="3" borderId="9" xfId="0" applyNumberFormat="1" applyFont="1" applyFill="1" applyBorder="1" applyAlignment="1">
      <alignment/>
    </xf>
    <xf numFmtId="2" fontId="3" fillId="3" borderId="10" xfId="0" applyNumberFormat="1" applyFont="1" applyFill="1" applyBorder="1" applyAlignment="1">
      <alignment/>
    </xf>
    <xf numFmtId="168" fontId="1" fillId="3" borderId="1" xfId="0" applyNumberFormat="1" applyFont="1" applyFill="1" applyBorder="1" applyAlignment="1">
      <alignment/>
    </xf>
    <xf numFmtId="168" fontId="1" fillId="3" borderId="3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1" fontId="0" fillId="3" borderId="11" xfId="0" applyNumberFormat="1" applyFont="1" applyFill="1" applyBorder="1" applyAlignment="1">
      <alignment/>
    </xf>
    <xf numFmtId="1" fontId="0" fillId="3" borderId="12" xfId="0" applyNumberFormat="1" applyFon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1" fontId="0" fillId="3" borderId="3" xfId="0" applyNumberFormat="1" applyFont="1" applyFill="1" applyBorder="1" applyAlignment="1">
      <alignment/>
    </xf>
    <xf numFmtId="0" fontId="0" fillId="3" borderId="7" xfId="0" applyFont="1" applyFill="1" applyBorder="1" applyAlignment="1">
      <alignment/>
    </xf>
    <xf numFmtId="2" fontId="5" fillId="3" borderId="5" xfId="0" applyNumberFormat="1" applyFont="1" applyFill="1" applyBorder="1" applyAlignment="1">
      <alignment/>
    </xf>
    <xf numFmtId="2" fontId="5" fillId="3" borderId="6" xfId="0" applyNumberFormat="1" applyFont="1" applyFill="1" applyBorder="1" applyAlignment="1">
      <alignment/>
    </xf>
    <xf numFmtId="0" fontId="0" fillId="3" borderId="17" xfId="0" applyFill="1" applyBorder="1" applyAlignment="1">
      <alignment/>
    </xf>
    <xf numFmtId="2" fontId="0" fillId="3" borderId="22" xfId="0" applyNumberFormat="1" applyFont="1" applyFill="1" applyBorder="1" applyAlignment="1">
      <alignment/>
    </xf>
    <xf numFmtId="0" fontId="0" fillId="3" borderId="11" xfId="0" applyFont="1" applyFill="1" applyBorder="1" applyAlignment="1">
      <alignment/>
    </xf>
    <xf numFmtId="168" fontId="7" fillId="3" borderId="1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2" fontId="0" fillId="3" borderId="5" xfId="0" applyNumberFormat="1" applyFont="1" applyFill="1" applyBorder="1" applyAlignment="1">
      <alignment/>
    </xf>
    <xf numFmtId="168" fontId="7" fillId="3" borderId="3" xfId="0" applyNumberFormat="1" applyFont="1" applyFill="1" applyBorder="1" applyAlignment="1">
      <alignment/>
    </xf>
    <xf numFmtId="2" fontId="0" fillId="3" borderId="6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6" borderId="35" xfId="0" applyFont="1" applyFill="1" applyBorder="1" applyAlignment="1">
      <alignment horizontal="center"/>
    </xf>
    <xf numFmtId="0" fontId="3" fillId="6" borderId="36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104775</xdr:rowOff>
    </xdr:from>
    <xdr:to>
      <xdr:col>2</xdr:col>
      <xdr:colOff>228600</xdr:colOff>
      <xdr:row>31</xdr:row>
      <xdr:rowOff>47625</xdr:rowOff>
    </xdr:to>
    <xdr:sp>
      <xdr:nvSpPr>
        <xdr:cNvPr id="1" name="Line 1"/>
        <xdr:cNvSpPr>
          <a:spLocks/>
        </xdr:cNvSpPr>
      </xdr:nvSpPr>
      <xdr:spPr>
        <a:xfrm>
          <a:off x="4019550" y="5086350"/>
          <a:ext cx="2286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30</xdr:row>
      <xdr:rowOff>95250</xdr:rowOff>
    </xdr:from>
    <xdr:to>
      <xdr:col>3</xdr:col>
      <xdr:colOff>209550</xdr:colOff>
      <xdr:row>31</xdr:row>
      <xdr:rowOff>47625</xdr:rowOff>
    </xdr:to>
    <xdr:sp>
      <xdr:nvSpPr>
        <xdr:cNvPr id="2" name="Line 2"/>
        <xdr:cNvSpPr>
          <a:spLocks/>
        </xdr:cNvSpPr>
      </xdr:nvSpPr>
      <xdr:spPr>
        <a:xfrm>
          <a:off x="4629150" y="5076825"/>
          <a:ext cx="2190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104775</xdr:rowOff>
    </xdr:from>
    <xdr:to>
      <xdr:col>4</xdr:col>
      <xdr:colOff>228600</xdr:colOff>
      <xdr:row>31</xdr:row>
      <xdr:rowOff>47625</xdr:rowOff>
    </xdr:to>
    <xdr:sp>
      <xdr:nvSpPr>
        <xdr:cNvPr id="3" name="Line 3"/>
        <xdr:cNvSpPr>
          <a:spLocks/>
        </xdr:cNvSpPr>
      </xdr:nvSpPr>
      <xdr:spPr>
        <a:xfrm>
          <a:off x="5238750" y="5086350"/>
          <a:ext cx="2095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52</xdr:row>
      <xdr:rowOff>76200</xdr:rowOff>
    </xdr:from>
    <xdr:to>
      <xdr:col>2</xdr:col>
      <xdr:colOff>114300</xdr:colOff>
      <xdr:row>57</xdr:row>
      <xdr:rowOff>28575</xdr:rowOff>
    </xdr:to>
    <xdr:sp>
      <xdr:nvSpPr>
        <xdr:cNvPr id="4" name="Line 6"/>
        <xdr:cNvSpPr>
          <a:spLocks/>
        </xdr:cNvSpPr>
      </xdr:nvSpPr>
      <xdr:spPr>
        <a:xfrm flipV="1">
          <a:off x="3981450" y="8715375"/>
          <a:ext cx="1524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52</xdr:row>
      <xdr:rowOff>76200</xdr:rowOff>
    </xdr:from>
    <xdr:to>
      <xdr:col>3</xdr:col>
      <xdr:colOff>114300</xdr:colOff>
      <xdr:row>57</xdr:row>
      <xdr:rowOff>28575</xdr:rowOff>
    </xdr:to>
    <xdr:sp>
      <xdr:nvSpPr>
        <xdr:cNvPr id="5" name="Line 7"/>
        <xdr:cNvSpPr>
          <a:spLocks/>
        </xdr:cNvSpPr>
      </xdr:nvSpPr>
      <xdr:spPr>
        <a:xfrm flipV="1">
          <a:off x="4638675" y="8715375"/>
          <a:ext cx="1143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52</xdr:row>
      <xdr:rowOff>76200</xdr:rowOff>
    </xdr:from>
    <xdr:to>
      <xdr:col>4</xdr:col>
      <xdr:colOff>114300</xdr:colOff>
      <xdr:row>57</xdr:row>
      <xdr:rowOff>28575</xdr:rowOff>
    </xdr:to>
    <xdr:sp>
      <xdr:nvSpPr>
        <xdr:cNvPr id="6" name="Line 8"/>
        <xdr:cNvSpPr>
          <a:spLocks/>
        </xdr:cNvSpPr>
      </xdr:nvSpPr>
      <xdr:spPr>
        <a:xfrm flipV="1">
          <a:off x="5219700" y="8715375"/>
          <a:ext cx="1143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="200" zoomScaleNormal="200" workbookViewId="0" topLeftCell="A4">
      <selection activeCell="A4" sqref="A4"/>
    </sheetView>
  </sheetViews>
  <sheetFormatPr defaultColWidth="9.140625" defaultRowHeight="12.75"/>
  <cols>
    <col min="1" max="1" width="49.7109375" style="0" bestFit="1" customWidth="1"/>
    <col min="2" max="2" width="10.57421875" style="0" customWidth="1"/>
    <col min="3" max="3" width="9.28125" style="0" customWidth="1"/>
    <col min="4" max="4" width="8.7109375" style="0" customWidth="1"/>
    <col min="5" max="5" width="9.28125" style="0" customWidth="1"/>
    <col min="7" max="7" width="4.8515625" style="0" customWidth="1"/>
    <col min="8" max="8" width="24.57421875" style="0" customWidth="1"/>
  </cols>
  <sheetData>
    <row r="1" spans="1:5" ht="13.5" thickBot="1">
      <c r="A1" s="177" t="s">
        <v>123</v>
      </c>
      <c r="B1" s="178"/>
      <c r="C1" s="178"/>
      <c r="D1" s="178"/>
      <c r="E1" s="179"/>
    </row>
    <row r="2" spans="1:12" ht="13.5" thickBot="1">
      <c r="A2" s="114" t="s">
        <v>139</v>
      </c>
      <c r="B2" s="115"/>
      <c r="C2" s="115"/>
      <c r="D2" s="115"/>
      <c r="E2" s="116"/>
      <c r="G2" s="38" t="s">
        <v>46</v>
      </c>
      <c r="H2" s="20"/>
      <c r="I2" s="9" t="str">
        <f>B8</f>
        <v>Jun</v>
      </c>
      <c r="J2" s="9" t="str">
        <f>C8</f>
        <v>Jul</v>
      </c>
      <c r="K2" s="9" t="str">
        <f>D8</f>
        <v>Ago</v>
      </c>
      <c r="L2" s="9" t="str">
        <f>E8</f>
        <v>Set</v>
      </c>
    </row>
    <row r="3" spans="1:12" ht="12.75">
      <c r="A3" s="97" t="s">
        <v>8</v>
      </c>
      <c r="B3" s="98"/>
      <c r="C3" s="99"/>
      <c r="D3" s="99"/>
      <c r="E3" s="100"/>
      <c r="G3" s="54" t="s">
        <v>47</v>
      </c>
      <c r="H3" s="18"/>
      <c r="I3" s="18"/>
      <c r="J3" s="18"/>
      <c r="K3" s="18"/>
      <c r="L3" s="18"/>
    </row>
    <row r="4" spans="1:12" ht="12.75">
      <c r="A4" s="101" t="s">
        <v>9</v>
      </c>
      <c r="B4" s="23">
        <v>25</v>
      </c>
      <c r="C4" s="102" t="s">
        <v>11</v>
      </c>
      <c r="D4" s="102"/>
      <c r="E4" s="103"/>
      <c r="G4" s="2"/>
      <c r="H4" s="14" t="s">
        <v>1</v>
      </c>
      <c r="I4" s="15">
        <f>B14</f>
        <v>1375</v>
      </c>
      <c r="J4" s="15">
        <f>C14</f>
        <v>1518.5499999999997</v>
      </c>
      <c r="K4" s="15">
        <f>D14</f>
        <v>1666.5395999999998</v>
      </c>
      <c r="L4" s="15">
        <f>E14</f>
        <v>1959.8505696000002</v>
      </c>
    </row>
    <row r="5" spans="1:12" ht="12.75">
      <c r="A5" s="101" t="s">
        <v>10</v>
      </c>
      <c r="B5" s="95">
        <v>75</v>
      </c>
      <c r="C5" s="102" t="s">
        <v>11</v>
      </c>
      <c r="D5" s="127">
        <v>3</v>
      </c>
      <c r="E5" s="103" t="s">
        <v>18</v>
      </c>
      <c r="G5" s="2"/>
      <c r="H5" s="14" t="s">
        <v>48</v>
      </c>
      <c r="I5" s="15">
        <f>B21</f>
        <v>0</v>
      </c>
      <c r="J5" s="15">
        <f>C21</f>
        <v>1375</v>
      </c>
      <c r="K5" s="15">
        <f>D21</f>
        <v>2893.55</v>
      </c>
      <c r="L5" s="15">
        <f>E21</f>
        <v>4560.0896</v>
      </c>
    </row>
    <row r="6" spans="1:12" ht="12.75">
      <c r="A6" s="101" t="s">
        <v>138</v>
      </c>
      <c r="B6" s="94">
        <v>0.004</v>
      </c>
      <c r="C6" s="96">
        <v>0.006</v>
      </c>
      <c r="D6" s="96">
        <v>0.008</v>
      </c>
      <c r="E6" s="104">
        <v>0.005</v>
      </c>
      <c r="G6" s="21" t="s">
        <v>30</v>
      </c>
      <c r="H6" s="16"/>
      <c r="I6" s="17">
        <f>SUM(I4:I5)</f>
        <v>1375</v>
      </c>
      <c r="J6" s="17">
        <f>SUM(J4:J5)</f>
        <v>2893.5499999999997</v>
      </c>
      <c r="K6" s="17">
        <f>SUM(K4:K5)</f>
        <v>4560.0896</v>
      </c>
      <c r="L6" s="17">
        <f>SUM(L4:L5)</f>
        <v>6519.9401696</v>
      </c>
    </row>
    <row r="7" spans="1:12" ht="13.5" thickBot="1">
      <c r="A7" s="105" t="s">
        <v>137</v>
      </c>
      <c r="B7" s="106">
        <v>10</v>
      </c>
      <c r="C7" s="107"/>
      <c r="D7" s="107"/>
      <c r="E7" s="108"/>
      <c r="G7" s="21" t="s">
        <v>49</v>
      </c>
      <c r="H7" s="14"/>
      <c r="I7" s="15"/>
      <c r="J7" s="15"/>
      <c r="K7" s="15"/>
      <c r="L7" s="15"/>
    </row>
    <row r="8" spans="1:12" ht="13.5" thickBot="1">
      <c r="A8" s="117" t="s">
        <v>0</v>
      </c>
      <c r="B8" s="118" t="s">
        <v>133</v>
      </c>
      <c r="C8" s="118" t="s">
        <v>134</v>
      </c>
      <c r="D8" s="118" t="s">
        <v>135</v>
      </c>
      <c r="E8" s="119" t="s">
        <v>136</v>
      </c>
      <c r="G8" s="2"/>
      <c r="H8" s="14" t="s">
        <v>59</v>
      </c>
      <c r="I8" s="26">
        <f>B66</f>
        <v>489.99999999999994</v>
      </c>
      <c r="J8" s="26">
        <f>C66</f>
        <v>489.99999999999994</v>
      </c>
      <c r="K8" s="26">
        <f>D66</f>
        <v>489.99999999999994</v>
      </c>
      <c r="L8" s="26">
        <f>E66</f>
        <v>489.99999999999994</v>
      </c>
    </row>
    <row r="9" spans="1:12" ht="12.75">
      <c r="A9" s="109" t="s">
        <v>12</v>
      </c>
      <c r="B9" s="110">
        <v>500</v>
      </c>
      <c r="C9" s="110">
        <v>550</v>
      </c>
      <c r="D9" s="110">
        <v>600</v>
      </c>
      <c r="E9" s="111">
        <v>700</v>
      </c>
      <c r="G9" s="2"/>
      <c r="H9" s="14" t="s">
        <v>50</v>
      </c>
      <c r="I9" s="26">
        <f>B85</f>
        <v>0</v>
      </c>
      <c r="J9" s="26">
        <f>C85</f>
        <v>210.00000000000006</v>
      </c>
      <c r="K9" s="26">
        <f>D85</f>
        <v>210.00000000000006</v>
      </c>
      <c r="L9" s="26">
        <f>E85</f>
        <v>210.00000000000006</v>
      </c>
    </row>
    <row r="10" spans="1:12" ht="12.75">
      <c r="A10" s="91" t="s">
        <v>7</v>
      </c>
      <c r="B10" s="1">
        <f>B7</f>
        <v>10</v>
      </c>
      <c r="C10" s="1">
        <f>B10+B10*B6</f>
        <v>10.04</v>
      </c>
      <c r="D10" s="1">
        <f>C10+C10*C6</f>
        <v>10.10024</v>
      </c>
      <c r="E10" s="3">
        <f>D10+D10*D6</f>
        <v>10.18104192</v>
      </c>
      <c r="G10" s="2"/>
      <c r="H10" s="14" t="s">
        <v>60</v>
      </c>
      <c r="I10" s="26">
        <f>B36</f>
        <v>0</v>
      </c>
      <c r="J10" s="26">
        <f>C36</f>
        <v>0</v>
      </c>
      <c r="K10" s="26">
        <f>D36</f>
        <v>0</v>
      </c>
      <c r="L10" s="26">
        <f>E36</f>
        <v>0</v>
      </c>
    </row>
    <row r="11" spans="1:12" ht="12.75">
      <c r="A11" s="92" t="s">
        <v>3</v>
      </c>
      <c r="B11" s="90">
        <f>B9*B10</f>
        <v>5000</v>
      </c>
      <c r="C11" s="90">
        <f>C9*C10</f>
        <v>5521.999999999999</v>
      </c>
      <c r="D11" s="90">
        <f>D9*D10</f>
        <v>6060.143999999999</v>
      </c>
      <c r="E11" s="113">
        <f>E9*E10</f>
        <v>7126.729344</v>
      </c>
      <c r="G11" s="2"/>
      <c r="H11" s="34" t="s">
        <v>51</v>
      </c>
      <c r="I11" s="26">
        <f>B46</f>
        <v>0</v>
      </c>
      <c r="J11" s="26">
        <f>C46</f>
        <v>770</v>
      </c>
      <c r="K11" s="26">
        <f>D46</f>
        <v>1919.5</v>
      </c>
      <c r="L11" s="26">
        <f>E46</f>
        <v>3327.5</v>
      </c>
    </row>
    <row r="12" spans="1:12" ht="12.75">
      <c r="A12" s="123" t="s">
        <v>140</v>
      </c>
      <c r="B12" s="122">
        <f>B11*0.1</f>
        <v>500</v>
      </c>
      <c r="C12" s="122">
        <f>C11*0.1</f>
        <v>552.1999999999999</v>
      </c>
      <c r="D12" s="122">
        <f>D11*0.1</f>
        <v>606.0143999999999</v>
      </c>
      <c r="E12" s="124">
        <f>E11*0.1</f>
        <v>712.6729344</v>
      </c>
      <c r="G12" s="2"/>
      <c r="H12" s="34" t="s">
        <v>118</v>
      </c>
      <c r="I12" s="26">
        <f>B75</f>
        <v>0</v>
      </c>
      <c r="J12" s="26">
        <f>C75</f>
        <v>493.0000000000001</v>
      </c>
      <c r="K12" s="26">
        <f>D75</f>
        <v>405.78999999999985</v>
      </c>
      <c r="L12" s="26">
        <f>E75</f>
        <v>377.4244799999998</v>
      </c>
    </row>
    <row r="13" spans="1:12" ht="12.75">
      <c r="A13" s="123" t="s">
        <v>141</v>
      </c>
      <c r="B13" s="122">
        <f>SUM(B11:B12)</f>
        <v>5500</v>
      </c>
      <c r="C13" s="122">
        <f>SUM(C11:C12)</f>
        <v>6074.199999999999</v>
      </c>
      <c r="D13" s="122">
        <f>SUM(D11:D12)</f>
        <v>6666.158399999999</v>
      </c>
      <c r="E13" s="124">
        <f>SUM(E11:E12)</f>
        <v>7839.402278400001</v>
      </c>
      <c r="G13" s="2"/>
      <c r="H13" s="34" t="s">
        <v>148</v>
      </c>
      <c r="I13" s="26">
        <f>B80</f>
        <v>0</v>
      </c>
      <c r="J13" s="26">
        <f>C80</f>
        <v>290</v>
      </c>
      <c r="K13" s="26">
        <f>D80</f>
        <v>238.69999999999993</v>
      </c>
      <c r="L13" s="26">
        <f>E80</f>
        <v>222.0143999999999</v>
      </c>
    </row>
    <row r="14" spans="1:12" ht="12.75">
      <c r="A14" s="91" t="s">
        <v>1</v>
      </c>
      <c r="B14" s="89">
        <f>B13*$B4/100</f>
        <v>1375</v>
      </c>
      <c r="C14" s="89">
        <f>C13*$B4/100</f>
        <v>1518.5499999999997</v>
      </c>
      <c r="D14" s="89">
        <f>D13*$B4/100</f>
        <v>1666.5395999999998</v>
      </c>
      <c r="E14" s="112">
        <f>E13*$B4/100</f>
        <v>1959.8505696000002</v>
      </c>
      <c r="G14" s="21" t="s">
        <v>30</v>
      </c>
      <c r="H14" s="176"/>
      <c r="I14" s="35">
        <f>SUM(I8:I13)</f>
        <v>489.99999999999994</v>
      </c>
      <c r="J14" s="35">
        <f>SUM(J8:J13)</f>
        <v>2253</v>
      </c>
      <c r="K14" s="35">
        <f>SUM(K8:K13)</f>
        <v>3263.99</v>
      </c>
      <c r="L14" s="35">
        <f>SUM(L8:L13)</f>
        <v>4626.93888</v>
      </c>
    </row>
    <row r="15" spans="1:12" ht="12.75">
      <c r="A15" s="91" t="s">
        <v>2</v>
      </c>
      <c r="B15" s="89">
        <f>B11-B14</f>
        <v>3625</v>
      </c>
      <c r="C15" s="89">
        <f>C14*$B5/100</f>
        <v>1138.9125</v>
      </c>
      <c r="D15" s="89">
        <f>D14*$B5/100</f>
        <v>1249.9046999999998</v>
      </c>
      <c r="E15" s="112">
        <f>E14*$B5/100</f>
        <v>1469.8879272000004</v>
      </c>
      <c r="G15" s="2"/>
      <c r="H15" s="34"/>
      <c r="I15" s="15"/>
      <c r="J15" s="15"/>
      <c r="K15" s="15"/>
      <c r="L15" s="15"/>
    </row>
    <row r="16" spans="1:12" ht="13.5" thickBot="1">
      <c r="A16" s="121" t="s">
        <v>112</v>
      </c>
      <c r="B16" s="125">
        <f>B11*0.17</f>
        <v>850.0000000000001</v>
      </c>
      <c r="C16" s="125">
        <f>C11*0.17</f>
        <v>938.7399999999999</v>
      </c>
      <c r="D16" s="125">
        <f>D11*0.17</f>
        <v>1030.2244799999999</v>
      </c>
      <c r="E16" s="126">
        <f>E11*0.17</f>
        <v>1211.54398848</v>
      </c>
      <c r="G16" s="21" t="s">
        <v>52</v>
      </c>
      <c r="H16" s="16"/>
      <c r="I16" s="35">
        <v>200</v>
      </c>
      <c r="J16" s="35">
        <f>I22</f>
        <v>1085</v>
      </c>
      <c r="K16" s="35">
        <f>J22</f>
        <v>1725.5499999999997</v>
      </c>
      <c r="L16" s="35">
        <f>K22</f>
        <v>3021.6496</v>
      </c>
    </row>
    <row r="17" spans="1:12" ht="13.5" thickBot="1">
      <c r="A17" s="88"/>
      <c r="B17" s="88"/>
      <c r="C17" s="88"/>
      <c r="D17" s="88"/>
      <c r="E17" s="88"/>
      <c r="G17" s="21" t="s">
        <v>53</v>
      </c>
      <c r="H17" s="16"/>
      <c r="I17" s="35">
        <f>I6-I14</f>
        <v>885</v>
      </c>
      <c r="J17" s="35">
        <f>J6-J14</f>
        <v>640.5499999999997</v>
      </c>
      <c r="K17" s="35">
        <f>K6-K14</f>
        <v>1296.0996000000005</v>
      </c>
      <c r="L17" s="35">
        <f>L6-L14</f>
        <v>1893.0012896000007</v>
      </c>
    </row>
    <row r="18" spans="1:12" ht="13.5" thickBot="1">
      <c r="A18" s="117" t="s">
        <v>13</v>
      </c>
      <c r="B18" s="118" t="str">
        <f>B8</f>
        <v>Jun</v>
      </c>
      <c r="C18" s="118" t="str">
        <f>C8</f>
        <v>Jul</v>
      </c>
      <c r="D18" s="118" t="str">
        <f>D8</f>
        <v>Ago</v>
      </c>
      <c r="E18" s="119" t="str">
        <f>E8</f>
        <v>Set</v>
      </c>
      <c r="G18" s="21" t="s">
        <v>54</v>
      </c>
      <c r="H18" s="16"/>
      <c r="I18" s="35">
        <f>I16+I17</f>
        <v>1085</v>
      </c>
      <c r="J18" s="35">
        <f>J16+J17</f>
        <v>1725.5499999999997</v>
      </c>
      <c r="K18" s="35">
        <f>K16+K17</f>
        <v>3021.6496</v>
      </c>
      <c r="L18" s="35">
        <f>L16+L17</f>
        <v>4914.650889600001</v>
      </c>
    </row>
    <row r="19" spans="1:12" ht="12.75">
      <c r="A19" s="128" t="s">
        <v>14</v>
      </c>
      <c r="B19" s="138">
        <v>0</v>
      </c>
      <c r="C19" s="138">
        <f>B22</f>
        <v>4125</v>
      </c>
      <c r="D19" s="138">
        <f>C22</f>
        <v>7305.65</v>
      </c>
      <c r="E19" s="139">
        <f>D22</f>
        <v>9411.718799999999</v>
      </c>
      <c r="G19" s="21" t="s">
        <v>55</v>
      </c>
      <c r="H19" s="16"/>
      <c r="I19" s="17"/>
      <c r="J19" s="17"/>
      <c r="K19" s="17"/>
      <c r="L19" s="17"/>
    </row>
    <row r="20" spans="1:12" ht="12.75">
      <c r="A20" s="91" t="s">
        <v>15</v>
      </c>
      <c r="B20" s="89">
        <f>$B5/100*B13</f>
        <v>4125</v>
      </c>
      <c r="C20" s="89">
        <f>$B5/100*C13</f>
        <v>4555.65</v>
      </c>
      <c r="D20" s="89">
        <f>$B5/100*D13</f>
        <v>4999.618799999999</v>
      </c>
      <c r="E20" s="112">
        <f>$B5/100*E13</f>
        <v>5879.551708800001</v>
      </c>
      <c r="G20" s="2" t="s">
        <v>56</v>
      </c>
      <c r="H20" s="14"/>
      <c r="I20" s="14"/>
      <c r="J20" s="14"/>
      <c r="K20" s="14"/>
      <c r="L20" s="14"/>
    </row>
    <row r="21" spans="1:12" ht="12.75">
      <c r="A21" s="91" t="s">
        <v>16</v>
      </c>
      <c r="B21" s="133">
        <v>0</v>
      </c>
      <c r="C21" s="133">
        <f>(B13*$B5/100)/$D5</f>
        <v>1375</v>
      </c>
      <c r="D21" s="133">
        <f>C21+C20/3</f>
        <v>2893.55</v>
      </c>
      <c r="E21" s="134">
        <f>C21+C20/3+D20/3</f>
        <v>4560.0896</v>
      </c>
      <c r="G21" s="2" t="s">
        <v>57</v>
      </c>
      <c r="H21" s="14"/>
      <c r="I21" s="31"/>
      <c r="J21" s="14"/>
      <c r="K21" s="14"/>
      <c r="L21" s="14"/>
    </row>
    <row r="22" spans="1:12" ht="13.5" thickBot="1">
      <c r="A22" s="135" t="s">
        <v>17</v>
      </c>
      <c r="B22" s="140">
        <f>B19+B20-B21</f>
        <v>4125</v>
      </c>
      <c r="C22" s="140">
        <f>C19+C20-C21</f>
        <v>7305.65</v>
      </c>
      <c r="D22" s="140">
        <f>D19+D20-D21</f>
        <v>9411.718799999999</v>
      </c>
      <c r="E22" s="141">
        <f>E19+E20-E21</f>
        <v>10731.1809088</v>
      </c>
      <c r="G22" s="4" t="s">
        <v>58</v>
      </c>
      <c r="H22" s="22"/>
      <c r="I22" s="36">
        <f>I18</f>
        <v>1085</v>
      </c>
      <c r="J22" s="36">
        <f>J18</f>
        <v>1725.5499999999997</v>
      </c>
      <c r="K22" s="36">
        <f>K18</f>
        <v>3021.6496</v>
      </c>
      <c r="L22" s="36">
        <f>L18</f>
        <v>4914.650889600001</v>
      </c>
    </row>
    <row r="23" ht="13.5" thickBot="1"/>
    <row r="24" spans="1:12" ht="13.5" thickBot="1">
      <c r="A24" t="s">
        <v>19</v>
      </c>
      <c r="G24" s="8" t="s">
        <v>64</v>
      </c>
      <c r="H24" s="9"/>
      <c r="I24" s="9" t="s">
        <v>124</v>
      </c>
      <c r="J24" s="9" t="s">
        <v>4</v>
      </c>
      <c r="K24" s="9" t="s">
        <v>5</v>
      </c>
      <c r="L24" s="9" t="s">
        <v>6</v>
      </c>
    </row>
    <row r="25" spans="1:12" ht="12.75">
      <c r="A25" t="s">
        <v>9</v>
      </c>
      <c r="B25" s="11"/>
      <c r="C25" t="s">
        <v>11</v>
      </c>
      <c r="G25" s="7" t="s">
        <v>65</v>
      </c>
      <c r="H25" s="18"/>
      <c r="I25" s="44"/>
      <c r="J25" s="44"/>
      <c r="K25" s="44"/>
      <c r="L25" s="44"/>
    </row>
    <row r="26" spans="1:12" ht="12.75">
      <c r="A26" t="s">
        <v>10</v>
      </c>
      <c r="B26" s="11"/>
      <c r="C26" t="s">
        <v>11</v>
      </c>
      <c r="D26" s="11">
        <v>1</v>
      </c>
      <c r="E26" t="s">
        <v>18</v>
      </c>
      <c r="G26" s="7"/>
      <c r="H26" s="18" t="s">
        <v>120</v>
      </c>
      <c r="I26" s="44"/>
      <c r="J26" s="44"/>
      <c r="K26" s="44"/>
      <c r="L26" s="44"/>
    </row>
    <row r="27" spans="1:12" ht="12.75">
      <c r="A27" t="s">
        <v>25</v>
      </c>
      <c r="B27" s="11"/>
      <c r="C27" t="s">
        <v>38</v>
      </c>
      <c r="D27" s="11"/>
      <c r="G27" s="2"/>
      <c r="H27" s="14" t="s">
        <v>66</v>
      </c>
      <c r="I27" s="25"/>
      <c r="J27" s="25"/>
      <c r="K27" s="25"/>
      <c r="L27" s="25"/>
    </row>
    <row r="28" spans="7:12" ht="13.5" thickBot="1">
      <c r="G28" s="2" t="s">
        <v>67</v>
      </c>
      <c r="H28" s="14"/>
      <c r="I28" s="25"/>
      <c r="J28" s="25"/>
      <c r="K28" s="25"/>
      <c r="L28" s="25"/>
    </row>
    <row r="29" spans="1:12" ht="13.5" thickBot="1">
      <c r="A29" s="150" t="s">
        <v>20</v>
      </c>
      <c r="B29" s="118" t="str">
        <f>B18</f>
        <v>Jun</v>
      </c>
      <c r="C29" s="118" t="str">
        <f>C18</f>
        <v>Jul</v>
      </c>
      <c r="D29" s="118" t="str">
        <f>D18</f>
        <v>Ago</v>
      </c>
      <c r="E29" s="119" t="str">
        <f>E18</f>
        <v>Set</v>
      </c>
      <c r="G29" s="2"/>
      <c r="H29" s="14" t="s">
        <v>68</v>
      </c>
      <c r="I29" s="25"/>
      <c r="J29" s="25"/>
      <c r="K29" s="25"/>
      <c r="L29" s="25"/>
    </row>
    <row r="30" spans="1:12" ht="13.5" thickBot="1">
      <c r="A30" s="142" t="s">
        <v>21</v>
      </c>
      <c r="B30" s="143">
        <f>B9</f>
        <v>500</v>
      </c>
      <c r="C30" s="143">
        <f>C9</f>
        <v>550</v>
      </c>
      <c r="D30" s="143">
        <f>D9</f>
        <v>600</v>
      </c>
      <c r="E30" s="151">
        <f>E9</f>
        <v>700</v>
      </c>
      <c r="G30" s="4" t="s">
        <v>69</v>
      </c>
      <c r="H30" s="42"/>
      <c r="I30" s="43"/>
      <c r="J30" s="43"/>
      <c r="K30" s="43"/>
      <c r="L30" s="43"/>
    </row>
    <row r="31" spans="1:5" ht="13.5" thickBot="1">
      <c r="A31" s="144" t="s">
        <v>22</v>
      </c>
      <c r="B31" s="145">
        <f>0.4*C9</f>
        <v>220</v>
      </c>
      <c r="C31" s="145">
        <f>0.4*D9</f>
        <v>240</v>
      </c>
      <c r="D31" s="145">
        <f>0.4*E9</f>
        <v>280</v>
      </c>
      <c r="E31" s="152">
        <f>0.4*E9</f>
        <v>280</v>
      </c>
    </row>
    <row r="32" spans="1:12" ht="13.5" thickBot="1">
      <c r="A32" s="144" t="s">
        <v>23</v>
      </c>
      <c r="B32" s="146">
        <v>300</v>
      </c>
      <c r="C32" s="146">
        <f>B31</f>
        <v>220</v>
      </c>
      <c r="D32" s="146">
        <f>C31</f>
        <v>240</v>
      </c>
      <c r="E32" s="153">
        <f>D31</f>
        <v>280</v>
      </c>
      <c r="G32" s="8" t="s">
        <v>70</v>
      </c>
      <c r="H32" s="9"/>
      <c r="I32" s="9" t="s">
        <v>124</v>
      </c>
      <c r="J32" s="9" t="s">
        <v>4</v>
      </c>
      <c r="K32" s="9" t="s">
        <v>5</v>
      </c>
      <c r="L32" s="9" t="s">
        <v>6</v>
      </c>
    </row>
    <row r="33" spans="1:12" ht="12.75">
      <c r="A33" s="144" t="s">
        <v>24</v>
      </c>
      <c r="B33" s="145">
        <f>B30+B31-B32</f>
        <v>420</v>
      </c>
      <c r="C33" s="145">
        <f>C30+C31-C32</f>
        <v>570</v>
      </c>
      <c r="D33" s="145">
        <f>D30+D31-D32</f>
        <v>640</v>
      </c>
      <c r="E33" s="152">
        <f>E30+E31-E32</f>
        <v>700</v>
      </c>
      <c r="G33" s="53" t="s">
        <v>71</v>
      </c>
      <c r="H33" s="18"/>
      <c r="I33" s="18"/>
      <c r="J33" s="18"/>
      <c r="K33" s="18"/>
      <c r="L33" s="18"/>
    </row>
    <row r="34" spans="1:12" ht="12.75">
      <c r="A34" s="144" t="s">
        <v>26</v>
      </c>
      <c r="B34" s="131">
        <v>5</v>
      </c>
      <c r="C34" s="131">
        <v>5.5</v>
      </c>
      <c r="D34" s="131">
        <v>6</v>
      </c>
      <c r="E34" s="132">
        <v>7</v>
      </c>
      <c r="G34" s="52"/>
      <c r="H34" s="47" t="s">
        <v>72</v>
      </c>
      <c r="I34" s="25"/>
      <c r="J34" s="25"/>
      <c r="K34" s="25"/>
      <c r="L34" s="25"/>
    </row>
    <row r="35" spans="1:12" ht="12.75">
      <c r="A35" s="123" t="s">
        <v>27</v>
      </c>
      <c r="B35" s="122">
        <f>B33*B34</f>
        <v>2100</v>
      </c>
      <c r="C35" s="122">
        <f>C33*C34</f>
        <v>3135</v>
      </c>
      <c r="D35" s="122">
        <f>D33*D34</f>
        <v>3840</v>
      </c>
      <c r="E35" s="124">
        <f>E33*E34</f>
        <v>4900</v>
      </c>
      <c r="G35" s="53"/>
      <c r="H35" s="48" t="s">
        <v>48</v>
      </c>
      <c r="I35" s="1"/>
      <c r="J35" s="1"/>
      <c r="K35" s="1"/>
      <c r="L35" s="1"/>
    </row>
    <row r="36" spans="1:12" ht="12.75">
      <c r="A36" s="144" t="s">
        <v>60</v>
      </c>
      <c r="B36" s="131"/>
      <c r="C36" s="131"/>
      <c r="D36" s="131"/>
      <c r="E36" s="132"/>
      <c r="G36" s="53"/>
      <c r="H36" s="48" t="s">
        <v>73</v>
      </c>
      <c r="I36" s="1"/>
      <c r="J36" s="1"/>
      <c r="K36" s="1"/>
      <c r="L36" s="1"/>
    </row>
    <row r="37" spans="1:12" ht="12.75">
      <c r="A37" s="147" t="s">
        <v>61</v>
      </c>
      <c r="B37" s="148">
        <f>B35</f>
        <v>2100</v>
      </c>
      <c r="C37" s="148">
        <f>C35</f>
        <v>3135</v>
      </c>
      <c r="D37" s="148">
        <f>D35</f>
        <v>3840</v>
      </c>
      <c r="E37" s="154">
        <f>E35</f>
        <v>4900</v>
      </c>
      <c r="G37" s="53"/>
      <c r="H37" s="48" t="s">
        <v>119</v>
      </c>
      <c r="I37" s="1"/>
      <c r="J37" s="1"/>
      <c r="K37" s="1"/>
      <c r="L37" s="1"/>
    </row>
    <row r="38" spans="1:12" ht="12.75">
      <c r="A38" s="123" t="s">
        <v>142</v>
      </c>
      <c r="B38" s="89">
        <f>0.1*B35</f>
        <v>210</v>
      </c>
      <c r="C38" s="89">
        <f>0.1*C35</f>
        <v>313.5</v>
      </c>
      <c r="D38" s="89">
        <f>0.1*D35</f>
        <v>384</v>
      </c>
      <c r="E38" s="112">
        <f>0.1*E35</f>
        <v>490</v>
      </c>
      <c r="G38" s="54"/>
      <c r="H38" s="49" t="s">
        <v>30</v>
      </c>
      <c r="I38" s="41"/>
      <c r="J38" s="41"/>
      <c r="K38" s="41"/>
      <c r="L38" s="41"/>
    </row>
    <row r="39" spans="1:12" ht="12.75">
      <c r="A39" s="123" t="s">
        <v>143</v>
      </c>
      <c r="B39" s="89">
        <f>B37+B38</f>
        <v>2310</v>
      </c>
      <c r="C39" s="89">
        <f>C37+C38</f>
        <v>3448.5</v>
      </c>
      <c r="D39" s="89">
        <f>D37+D38</f>
        <v>4224</v>
      </c>
      <c r="E39" s="112">
        <f>E37+E38</f>
        <v>5390</v>
      </c>
      <c r="G39" s="53" t="s">
        <v>74</v>
      </c>
      <c r="H39" s="46"/>
      <c r="I39" s="23"/>
      <c r="J39" s="23"/>
      <c r="K39" s="23"/>
      <c r="L39" s="23"/>
    </row>
    <row r="40" spans="1:12" ht="13.5" thickBot="1">
      <c r="A40" s="120" t="s">
        <v>111</v>
      </c>
      <c r="B40" s="149">
        <f>0.17*B35</f>
        <v>357</v>
      </c>
      <c r="C40" s="149">
        <f>0.17*C35</f>
        <v>532.95</v>
      </c>
      <c r="D40" s="149">
        <f>0.17*D35</f>
        <v>652.8000000000001</v>
      </c>
      <c r="E40" s="155">
        <f>0.17*E35</f>
        <v>833.0000000000001</v>
      </c>
      <c r="G40" s="52"/>
      <c r="H40" s="48" t="s">
        <v>51</v>
      </c>
      <c r="I40" s="1"/>
      <c r="J40" s="1"/>
      <c r="K40" s="1"/>
      <c r="L40" s="1"/>
    </row>
    <row r="41" spans="1:12" ht="13.5" thickBot="1">
      <c r="A41" s="93" t="s">
        <v>122</v>
      </c>
      <c r="B41" s="156">
        <f>B35</f>
        <v>2100</v>
      </c>
      <c r="C41" s="156">
        <f>C35</f>
        <v>3135</v>
      </c>
      <c r="D41" s="156">
        <f>D35</f>
        <v>3840</v>
      </c>
      <c r="E41" s="156">
        <f>E35</f>
        <v>4900</v>
      </c>
      <c r="G41" s="53"/>
      <c r="H41" s="47" t="s">
        <v>50</v>
      </c>
      <c r="I41" s="1"/>
      <c r="J41" s="1"/>
      <c r="K41" s="1"/>
      <c r="L41" s="1"/>
    </row>
    <row r="42" spans="7:12" ht="13.5" thickBot="1">
      <c r="G42" s="53"/>
      <c r="H42" s="47" t="s">
        <v>115</v>
      </c>
      <c r="I42" s="1"/>
      <c r="J42" s="1"/>
      <c r="K42" s="1"/>
      <c r="L42" s="1"/>
    </row>
    <row r="43" spans="1:12" ht="13.5" thickBot="1">
      <c r="A43" s="117" t="s">
        <v>40</v>
      </c>
      <c r="B43" s="118" t="str">
        <f>B29</f>
        <v>Jun</v>
      </c>
      <c r="C43" s="118" t="str">
        <f>C29</f>
        <v>Jul</v>
      </c>
      <c r="D43" s="118" t="str">
        <f>D29</f>
        <v>Ago</v>
      </c>
      <c r="E43" s="119" t="str">
        <f>E29</f>
        <v>Set</v>
      </c>
      <c r="G43" s="54"/>
      <c r="H43" s="50" t="s">
        <v>75</v>
      </c>
      <c r="I43" s="1"/>
      <c r="J43" s="1"/>
      <c r="K43" s="1"/>
      <c r="L43" s="1"/>
    </row>
    <row r="44" spans="1:12" ht="12.75">
      <c r="A44" s="128" t="s">
        <v>41</v>
      </c>
      <c r="B44" s="129">
        <v>0</v>
      </c>
      <c r="C44" s="129">
        <f>B47</f>
        <v>2310</v>
      </c>
      <c r="D44" s="129">
        <f>C47</f>
        <v>4988.5</v>
      </c>
      <c r="E44" s="130">
        <f>D47</f>
        <v>7293</v>
      </c>
      <c r="G44" s="53" t="s">
        <v>76</v>
      </c>
      <c r="H44" s="14"/>
      <c r="I44" s="23"/>
      <c r="J44" s="23"/>
      <c r="K44" s="23"/>
      <c r="L44" s="23"/>
    </row>
    <row r="45" spans="1:12" ht="12.75">
      <c r="A45" s="91" t="s">
        <v>36</v>
      </c>
      <c r="B45" s="131">
        <f>B37+B38</f>
        <v>2310</v>
      </c>
      <c r="C45" s="131">
        <f>C37+C38</f>
        <v>3448.5</v>
      </c>
      <c r="D45" s="131">
        <f>D37+D38</f>
        <v>4224</v>
      </c>
      <c r="E45" s="132">
        <f>E37+E38</f>
        <v>5390</v>
      </c>
      <c r="G45" s="55"/>
      <c r="H45" s="50" t="s">
        <v>77</v>
      </c>
      <c r="I45" s="25"/>
      <c r="J45" s="25"/>
      <c r="K45" s="25"/>
      <c r="L45" s="25"/>
    </row>
    <row r="46" spans="1:12" ht="13.5" thickBot="1">
      <c r="A46" s="91" t="s">
        <v>42</v>
      </c>
      <c r="B46" s="158"/>
      <c r="C46" s="158">
        <f>B45/3</f>
        <v>770</v>
      </c>
      <c r="D46" s="158">
        <f>B45/3+C45/3</f>
        <v>1919.5</v>
      </c>
      <c r="E46" s="159">
        <f>B45/3+C45/3+D45/3</f>
        <v>3327.5</v>
      </c>
      <c r="G46" s="56"/>
      <c r="H46" s="57" t="s">
        <v>30</v>
      </c>
      <c r="I46" s="5"/>
      <c r="J46" s="5"/>
      <c r="K46" s="5"/>
      <c r="L46" s="5"/>
    </row>
    <row r="47" spans="1:5" ht="13.5" thickBot="1">
      <c r="A47" s="135" t="s">
        <v>43</v>
      </c>
      <c r="B47" s="136">
        <f>B45</f>
        <v>2310</v>
      </c>
      <c r="C47" s="136">
        <f>C44+C45-C46</f>
        <v>4988.5</v>
      </c>
      <c r="D47" s="136">
        <f>D44+D45-D46</f>
        <v>7293</v>
      </c>
      <c r="E47" s="137">
        <f>E44+E45-E46</f>
        <v>9355.5</v>
      </c>
    </row>
    <row r="48" spans="10:12" ht="13.5" thickBot="1">
      <c r="J48" s="40"/>
      <c r="K48" s="40"/>
      <c r="L48" s="40"/>
    </row>
    <row r="49" spans="1:5" ht="13.5" thickBot="1">
      <c r="A49" s="117" t="s">
        <v>28</v>
      </c>
      <c r="B49" s="118" t="str">
        <f>B43</f>
        <v>Jun</v>
      </c>
      <c r="C49" s="118" t="str">
        <f>C43</f>
        <v>Jul</v>
      </c>
      <c r="D49" s="118" t="str">
        <f>D43</f>
        <v>Ago</v>
      </c>
      <c r="E49" s="119" t="str">
        <f>E43</f>
        <v>Set</v>
      </c>
    </row>
    <row r="50" spans="1:5" ht="12.75">
      <c r="A50" s="128" t="s">
        <v>125</v>
      </c>
      <c r="B50" s="161">
        <f aca="true" t="shared" si="0" ref="B50:E51">B32</f>
        <v>300</v>
      </c>
      <c r="C50" s="161">
        <f t="shared" si="0"/>
        <v>220</v>
      </c>
      <c r="D50" s="161">
        <f t="shared" si="0"/>
        <v>240</v>
      </c>
      <c r="E50" s="162">
        <f t="shared" si="0"/>
        <v>280</v>
      </c>
    </row>
    <row r="51" spans="1:5" ht="12.75">
      <c r="A51" s="91" t="s">
        <v>126</v>
      </c>
      <c r="B51" s="163">
        <f t="shared" si="0"/>
        <v>420</v>
      </c>
      <c r="C51" s="163">
        <f t="shared" si="0"/>
        <v>570</v>
      </c>
      <c r="D51" s="163">
        <f t="shared" si="0"/>
        <v>640</v>
      </c>
      <c r="E51" s="164">
        <f t="shared" si="0"/>
        <v>700</v>
      </c>
    </row>
    <row r="52" spans="1:5" ht="12.75">
      <c r="A52" s="128" t="s">
        <v>127</v>
      </c>
      <c r="B52" s="161">
        <f>B50+B51</f>
        <v>720</v>
      </c>
      <c r="C52" s="161">
        <f>C50+C51</f>
        <v>790</v>
      </c>
      <c r="D52" s="161">
        <f>D50+D51</f>
        <v>880</v>
      </c>
      <c r="E52" s="162">
        <f>E50+E51</f>
        <v>980</v>
      </c>
    </row>
    <row r="53" spans="1:5" ht="12.75">
      <c r="A53" s="128" t="s">
        <v>29</v>
      </c>
      <c r="B53" s="138">
        <f>6*B50</f>
        <v>1800</v>
      </c>
      <c r="C53" s="138">
        <f>B58</f>
        <v>1082.5833333333333</v>
      </c>
      <c r="D53" s="138">
        <f>C58</f>
        <v>1119.3822784810125</v>
      </c>
      <c r="E53" s="139">
        <f>D58</f>
        <v>1370.2761795166857</v>
      </c>
    </row>
    <row r="54" spans="1:5" ht="12.75">
      <c r="A54" s="91" t="s">
        <v>121</v>
      </c>
      <c r="B54" s="89">
        <f>B41-B40</f>
        <v>1743</v>
      </c>
      <c r="C54" s="89">
        <f>C41-C40</f>
        <v>2602.05</v>
      </c>
      <c r="D54" s="89">
        <f>D41-D40</f>
        <v>3187.2</v>
      </c>
      <c r="E54" s="112">
        <f>E41-E40</f>
        <v>4067</v>
      </c>
    </row>
    <row r="55" spans="1:5" ht="12.75">
      <c r="A55" s="91" t="s">
        <v>30</v>
      </c>
      <c r="B55" s="89">
        <f>SUM(B53:B54)</f>
        <v>3543</v>
      </c>
      <c r="C55" s="89">
        <f>SUM(C53:C54)</f>
        <v>3684.633333333333</v>
      </c>
      <c r="D55" s="89">
        <f>SUM(D53:D54)</f>
        <v>4306.5822784810125</v>
      </c>
      <c r="E55" s="112">
        <f>SUM(E53:E54)</f>
        <v>5437.276179516686</v>
      </c>
    </row>
    <row r="56" spans="1:5" ht="12.75">
      <c r="A56" s="91" t="s">
        <v>31</v>
      </c>
      <c r="B56" s="89">
        <f>B55/B52</f>
        <v>4.920833333333333</v>
      </c>
      <c r="C56" s="89">
        <f>C55/C52</f>
        <v>4.664092827004219</v>
      </c>
      <c r="D56" s="89">
        <f>D55/D52</f>
        <v>4.893843498273878</v>
      </c>
      <c r="E56" s="112">
        <f>E55/E52</f>
        <v>5.548240999506823</v>
      </c>
    </row>
    <row r="57" spans="1:5" ht="12.75">
      <c r="A57" s="91" t="s">
        <v>128</v>
      </c>
      <c r="B57" s="163">
        <f>C50</f>
        <v>220</v>
      </c>
      <c r="C57" s="163">
        <f>D50</f>
        <v>240</v>
      </c>
      <c r="D57" s="163">
        <f>E50</f>
        <v>280</v>
      </c>
      <c r="E57" s="164">
        <v>280</v>
      </c>
    </row>
    <row r="58" spans="1:5" ht="13.5" thickBot="1">
      <c r="A58" s="135" t="s">
        <v>129</v>
      </c>
      <c r="B58" s="140">
        <f>B57*B56</f>
        <v>1082.5833333333333</v>
      </c>
      <c r="C58" s="140">
        <f>C57*C56</f>
        <v>1119.3822784810125</v>
      </c>
      <c r="D58" s="140">
        <f>D57*D56</f>
        <v>1370.2761795166857</v>
      </c>
      <c r="E58" s="141">
        <f>E57*E56</f>
        <v>1553.5074798619105</v>
      </c>
    </row>
    <row r="59" spans="1:5" ht="12.75">
      <c r="A59" s="91" t="s">
        <v>32</v>
      </c>
      <c r="B59" s="145">
        <f>B9</f>
        <v>500</v>
      </c>
      <c r="C59" s="145">
        <f>C9</f>
        <v>550</v>
      </c>
      <c r="D59" s="145">
        <f>D9</f>
        <v>600</v>
      </c>
      <c r="E59" s="152">
        <f>E9</f>
        <v>700</v>
      </c>
    </row>
    <row r="60" spans="1:5" ht="13.5" thickBot="1">
      <c r="A60" s="135" t="s">
        <v>33</v>
      </c>
      <c r="B60" s="140">
        <f>B59*B56</f>
        <v>2460.4166666666665</v>
      </c>
      <c r="C60" s="140">
        <f>C59*C56</f>
        <v>2565.2510548523205</v>
      </c>
      <c r="D60" s="140">
        <f>D59*D56</f>
        <v>2936.306098964327</v>
      </c>
      <c r="E60" s="141">
        <f>E59*E56</f>
        <v>3883.768699654776</v>
      </c>
    </row>
    <row r="61" ht="13.5" thickBot="1"/>
    <row r="62" spans="1:5" ht="13.5" thickBot="1">
      <c r="A62" s="117" t="s">
        <v>39</v>
      </c>
      <c r="B62" s="118" t="str">
        <f>B49</f>
        <v>Jun</v>
      </c>
      <c r="C62" s="118" t="str">
        <f>C49</f>
        <v>Jul</v>
      </c>
      <c r="D62" s="118" t="str">
        <f>D49</f>
        <v>Ago</v>
      </c>
      <c r="E62" s="119" t="str">
        <f>E49</f>
        <v>Set</v>
      </c>
    </row>
    <row r="63" spans="1:5" ht="12.75">
      <c r="A63" s="165" t="s">
        <v>130</v>
      </c>
      <c r="B63" s="129">
        <v>300</v>
      </c>
      <c r="C63" s="129">
        <v>300</v>
      </c>
      <c r="D63" s="129">
        <v>300</v>
      </c>
      <c r="E63" s="130">
        <v>300</v>
      </c>
    </row>
    <row r="64" spans="1:5" ht="12.75">
      <c r="A64" s="144" t="s">
        <v>131</v>
      </c>
      <c r="B64" s="131">
        <v>400</v>
      </c>
      <c r="C64" s="131">
        <v>400</v>
      </c>
      <c r="D64" s="131">
        <v>400</v>
      </c>
      <c r="E64" s="132">
        <v>400</v>
      </c>
    </row>
    <row r="65" spans="1:5" ht="13.5" thickBot="1">
      <c r="A65" s="135" t="s">
        <v>132</v>
      </c>
      <c r="B65" s="166">
        <f>SUM(B63:B64)</f>
        <v>700</v>
      </c>
      <c r="C65" s="166">
        <f>SUM(C63:C64)</f>
        <v>700</v>
      </c>
      <c r="D65" s="166">
        <f>SUM(D63:D64)</f>
        <v>700</v>
      </c>
      <c r="E65" s="167">
        <f>SUM(E63:E64)</f>
        <v>700</v>
      </c>
    </row>
    <row r="66" spans="1:5" ht="12.75">
      <c r="A66" s="165" t="s">
        <v>62</v>
      </c>
      <c r="B66" s="129">
        <f>0.7*B65</f>
        <v>489.99999999999994</v>
      </c>
      <c r="C66" s="129">
        <f>0.7*C65</f>
        <v>489.99999999999994</v>
      </c>
      <c r="D66" s="129">
        <f>0.7*D65</f>
        <v>489.99999999999994</v>
      </c>
      <c r="E66" s="130">
        <f>0.7*E65</f>
        <v>489.99999999999994</v>
      </c>
    </row>
    <row r="67" spans="1:5" ht="12.75">
      <c r="A67" s="144" t="s">
        <v>63</v>
      </c>
      <c r="B67" s="131">
        <f>B65-B66</f>
        <v>210.00000000000006</v>
      </c>
      <c r="C67" s="131">
        <f>C65-C66</f>
        <v>210.00000000000006</v>
      </c>
      <c r="D67" s="131">
        <f>D65-D66</f>
        <v>210.00000000000006</v>
      </c>
      <c r="E67" s="132">
        <f>E65-E66</f>
        <v>210.00000000000006</v>
      </c>
    </row>
    <row r="68" spans="1:5" ht="13.5" thickBot="1">
      <c r="A68" s="135" t="s">
        <v>132</v>
      </c>
      <c r="B68" s="166">
        <f>SUM(B66:B67)</f>
        <v>700</v>
      </c>
      <c r="C68" s="166">
        <f>SUM(C66:C67)</f>
        <v>700</v>
      </c>
      <c r="D68" s="166">
        <f>SUM(D66:D67)</f>
        <v>700</v>
      </c>
      <c r="E68" s="167">
        <f>SUM(E66:E67)</f>
        <v>700</v>
      </c>
    </row>
    <row r="69" ht="13.5" thickBot="1"/>
    <row r="70" spans="1:5" ht="13.5" thickBot="1">
      <c r="A70" s="117" t="s">
        <v>113</v>
      </c>
      <c r="B70" s="118" t="str">
        <f>B62</f>
        <v>Jun</v>
      </c>
      <c r="C70" s="118" t="str">
        <f>C62</f>
        <v>Jul</v>
      </c>
      <c r="D70" s="118" t="str">
        <f>D62</f>
        <v>Ago</v>
      </c>
      <c r="E70" s="118" t="str">
        <f>E62</f>
        <v>Set</v>
      </c>
    </row>
    <row r="71" spans="1:5" ht="12.75">
      <c r="A71" s="128" t="s">
        <v>114</v>
      </c>
      <c r="B71" s="138">
        <f>B16</f>
        <v>850.0000000000001</v>
      </c>
      <c r="C71" s="138">
        <f>C16</f>
        <v>938.7399999999999</v>
      </c>
      <c r="D71" s="138">
        <f>D16</f>
        <v>1030.2244799999999</v>
      </c>
      <c r="E71" s="139">
        <f>E16</f>
        <v>1211.54398848</v>
      </c>
    </row>
    <row r="72" spans="1:5" ht="12.75">
      <c r="A72" s="91" t="s">
        <v>115</v>
      </c>
      <c r="B72" s="89">
        <f>B71</f>
        <v>850.0000000000001</v>
      </c>
      <c r="C72" s="89">
        <f>C71</f>
        <v>938.7399999999999</v>
      </c>
      <c r="D72" s="89">
        <f>D71</f>
        <v>1030.2244799999999</v>
      </c>
      <c r="E72" s="112">
        <f>E71</f>
        <v>1211.54398848</v>
      </c>
    </row>
    <row r="73" spans="1:5" ht="12.75">
      <c r="A73" s="91" t="s">
        <v>116</v>
      </c>
      <c r="B73" s="133">
        <f>B40</f>
        <v>357</v>
      </c>
      <c r="C73" s="133">
        <f>C40</f>
        <v>532.95</v>
      </c>
      <c r="D73" s="133">
        <f>D40</f>
        <v>652.8000000000001</v>
      </c>
      <c r="E73" s="134">
        <f>E40</f>
        <v>833.0000000000001</v>
      </c>
    </row>
    <row r="74" spans="1:5" ht="13.5" thickBot="1">
      <c r="A74" s="168" t="s">
        <v>117</v>
      </c>
      <c r="B74" s="148">
        <f>B72-B73</f>
        <v>493.0000000000001</v>
      </c>
      <c r="C74" s="148">
        <f>C72-C73</f>
        <v>405.78999999999985</v>
      </c>
      <c r="D74" s="148">
        <f>D72-D73</f>
        <v>377.4244799999998</v>
      </c>
      <c r="E74" s="154">
        <f>E72-E73</f>
        <v>378.54398847999994</v>
      </c>
    </row>
    <row r="75" spans="1:5" ht="13.5" thickBot="1">
      <c r="A75" s="93" t="s">
        <v>118</v>
      </c>
      <c r="B75" s="156">
        <v>0</v>
      </c>
      <c r="C75" s="156">
        <f>B74</f>
        <v>493.0000000000001</v>
      </c>
      <c r="D75" s="156">
        <f>C74</f>
        <v>405.78999999999985</v>
      </c>
      <c r="E75" s="157">
        <f>D74</f>
        <v>377.4244799999998</v>
      </c>
    </row>
    <row r="76" spans="1:5" ht="12.75">
      <c r="A76" s="109" t="s">
        <v>140</v>
      </c>
      <c r="B76" s="169">
        <f>B12</f>
        <v>500</v>
      </c>
      <c r="C76" s="169">
        <f>C12</f>
        <v>552.1999999999999</v>
      </c>
      <c r="D76" s="169">
        <f>D12</f>
        <v>606.0143999999999</v>
      </c>
      <c r="E76" s="169">
        <f>E12</f>
        <v>712.6729344</v>
      </c>
    </row>
    <row r="77" spans="1:5" ht="12.75">
      <c r="A77" s="91" t="s">
        <v>144</v>
      </c>
      <c r="B77" s="89">
        <f>B76</f>
        <v>500</v>
      </c>
      <c r="C77" s="89">
        <f>C76</f>
        <v>552.1999999999999</v>
      </c>
      <c r="D77" s="89">
        <f>D76</f>
        <v>606.0143999999999</v>
      </c>
      <c r="E77" s="89">
        <f>E76</f>
        <v>712.6729344</v>
      </c>
    </row>
    <row r="78" spans="1:5" ht="12.75">
      <c r="A78" s="91" t="s">
        <v>145</v>
      </c>
      <c r="B78" s="133">
        <f>B38</f>
        <v>210</v>
      </c>
      <c r="C78" s="133">
        <f>C38</f>
        <v>313.5</v>
      </c>
      <c r="D78" s="133">
        <f>D38</f>
        <v>384</v>
      </c>
      <c r="E78" s="133">
        <f>E38</f>
        <v>490</v>
      </c>
    </row>
    <row r="79" spans="1:5" ht="13.5" thickBot="1">
      <c r="A79" s="168" t="s">
        <v>146</v>
      </c>
      <c r="B79" s="148">
        <f>B77-B78</f>
        <v>290</v>
      </c>
      <c r="C79" s="148">
        <f>C77-C78</f>
        <v>238.69999999999993</v>
      </c>
      <c r="D79" s="148">
        <f>D77-D78</f>
        <v>222.0143999999999</v>
      </c>
      <c r="E79" s="148">
        <f>E77-E78</f>
        <v>222.67293440000003</v>
      </c>
    </row>
    <row r="80" spans="1:5" ht="13.5" thickBot="1">
      <c r="A80" s="93" t="s">
        <v>147</v>
      </c>
      <c r="B80" s="156">
        <v>0</v>
      </c>
      <c r="C80" s="156">
        <f>B79</f>
        <v>290</v>
      </c>
      <c r="D80" s="156">
        <f>C79</f>
        <v>238.69999999999993</v>
      </c>
      <c r="E80" s="156">
        <f>D79</f>
        <v>222.0143999999999</v>
      </c>
    </row>
    <row r="81" ht="13.5" thickBot="1"/>
    <row r="82" spans="1:5" ht="13.5" thickBot="1">
      <c r="A82" s="117" t="s">
        <v>34</v>
      </c>
      <c r="B82" s="118" t="str">
        <f>B62</f>
        <v>Jun</v>
      </c>
      <c r="C82" s="118" t="str">
        <f>C62</f>
        <v>Jul</v>
      </c>
      <c r="D82" s="118" t="str">
        <f>D62</f>
        <v>Ago</v>
      </c>
      <c r="E82" s="119" t="str">
        <f>E62</f>
        <v>Set</v>
      </c>
    </row>
    <row r="83" spans="1:5" ht="12.75">
      <c r="A83" s="128" t="s">
        <v>35</v>
      </c>
      <c r="B83" s="170"/>
      <c r="C83" s="138">
        <f>B86</f>
        <v>210.00000000000006</v>
      </c>
      <c r="D83" s="138">
        <f>C86</f>
        <v>210.00000000000006</v>
      </c>
      <c r="E83" s="139">
        <f>D86</f>
        <v>210.00000000000006</v>
      </c>
    </row>
    <row r="84" spans="1:5" ht="12.75">
      <c r="A84" s="91" t="s">
        <v>45</v>
      </c>
      <c r="B84" s="89">
        <f>B67</f>
        <v>210.00000000000006</v>
      </c>
      <c r="C84" s="89">
        <f>B86</f>
        <v>210.00000000000006</v>
      </c>
      <c r="D84" s="89">
        <f>C86</f>
        <v>210.00000000000006</v>
      </c>
      <c r="E84" s="112">
        <f>D86</f>
        <v>210.00000000000006</v>
      </c>
    </row>
    <row r="85" spans="1:5" ht="12.75">
      <c r="A85" s="91" t="s">
        <v>37</v>
      </c>
      <c r="B85" s="160"/>
      <c r="C85" s="171">
        <f aca="true" t="shared" si="1" ref="C85:E86">C83</f>
        <v>210.00000000000006</v>
      </c>
      <c r="D85" s="171">
        <f t="shared" si="1"/>
        <v>210.00000000000006</v>
      </c>
      <c r="E85" s="174">
        <f t="shared" si="1"/>
        <v>210.00000000000006</v>
      </c>
    </row>
    <row r="86" spans="1:5" ht="13.5" thickBot="1">
      <c r="A86" s="172" t="s">
        <v>44</v>
      </c>
      <c r="B86" s="173">
        <f>B84</f>
        <v>210.00000000000006</v>
      </c>
      <c r="C86" s="173">
        <f t="shared" si="1"/>
        <v>210.00000000000006</v>
      </c>
      <c r="D86" s="173">
        <f t="shared" si="1"/>
        <v>210.00000000000006</v>
      </c>
      <c r="E86" s="175">
        <f t="shared" si="1"/>
        <v>210.00000000000006</v>
      </c>
    </row>
  </sheetData>
  <sheetProtection/>
  <protectedRanges>
    <protectedRange sqref="B9:E10" name="Range3"/>
    <protectedRange password="CC3E" sqref="C6:E6" name="Range2"/>
    <protectedRange sqref="B4:B7" name="Range1"/>
  </protectedRanges>
  <mergeCells count="1">
    <mergeCell ref="A1:E1"/>
  </mergeCells>
  <printOptions/>
  <pageMargins left="0.75" right="0.75" top="1" bottom="1" header="0.492125985" footer="0.49212598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140625" defaultRowHeight="12.75"/>
  <cols>
    <col min="1" max="1" width="38.140625" style="0" customWidth="1"/>
    <col min="2" max="5" width="9.57421875" style="0" bestFit="1" customWidth="1"/>
    <col min="8" max="8" width="9.57421875" style="0" bestFit="1" customWidth="1"/>
    <col min="9" max="10" width="10.140625" style="0" customWidth="1"/>
    <col min="11" max="11" width="11.140625" style="0" customWidth="1"/>
  </cols>
  <sheetData>
    <row r="1" spans="1:5" ht="13.5" thickBot="1">
      <c r="A1" s="67"/>
      <c r="B1" s="20" t="s">
        <v>82</v>
      </c>
      <c r="C1" s="20" t="s">
        <v>83</v>
      </c>
      <c r="D1" s="20" t="s">
        <v>84</v>
      </c>
      <c r="E1" s="68" t="s">
        <v>85</v>
      </c>
    </row>
    <row r="2" spans="1:5" ht="12.75">
      <c r="A2" s="7" t="s">
        <v>78</v>
      </c>
      <c r="B2" s="69">
        <v>0.03</v>
      </c>
      <c r="C2" s="69">
        <v>0.02</v>
      </c>
      <c r="D2" s="69">
        <v>0.03</v>
      </c>
      <c r="E2" s="70">
        <v>0.04</v>
      </c>
    </row>
    <row r="3" spans="1:5" ht="12.75">
      <c r="A3" s="2" t="s">
        <v>79</v>
      </c>
      <c r="B3" s="59">
        <v>0.035</v>
      </c>
      <c r="C3" s="59">
        <v>0.02</v>
      </c>
      <c r="D3" s="59">
        <v>0.02</v>
      </c>
      <c r="E3" s="62">
        <v>0.03</v>
      </c>
    </row>
    <row r="4" spans="1:5" ht="12.75">
      <c r="A4" s="2" t="s">
        <v>80</v>
      </c>
      <c r="B4" s="60">
        <f>B2</f>
        <v>0.03</v>
      </c>
      <c r="C4" s="60">
        <f>(1+B2)*(1+C2)-1</f>
        <v>0.05059999999999998</v>
      </c>
      <c r="D4" s="60">
        <f>(1+B2)*(1+C2)*(1+D2)-1</f>
        <v>0.08211799999999991</v>
      </c>
      <c r="E4" s="63">
        <f>(1+B2)*(1+C2)*(1+D2)*(1+E2)-1</f>
        <v>0.12540271999999986</v>
      </c>
    </row>
    <row r="5" spans="1:5" ht="13.5" thickBot="1">
      <c r="A5" s="19" t="s">
        <v>81</v>
      </c>
      <c r="B5" s="64">
        <f>B3</f>
        <v>0.035</v>
      </c>
      <c r="C5" s="64">
        <f>(1+B3)*(1+C3)-1</f>
        <v>0.05569999999999986</v>
      </c>
      <c r="D5" s="64">
        <f>(1+B3)*(1+C3)*(1+D3)-1</f>
        <v>0.07681399999999994</v>
      </c>
      <c r="E5" s="65">
        <f>(1+B3)*(1+C3)*(1+D3)*(1+E3)-1</f>
        <v>0.10911841999999994</v>
      </c>
    </row>
    <row r="6" ht="13.5" thickBot="1"/>
    <row r="7" spans="1:5" ht="13.5" thickBot="1">
      <c r="A7" s="71" t="s">
        <v>86</v>
      </c>
      <c r="B7" s="72" t="s">
        <v>82</v>
      </c>
      <c r="C7" s="72" t="s">
        <v>83</v>
      </c>
      <c r="D7" s="72" t="s">
        <v>84</v>
      </c>
      <c r="E7" s="73" t="s">
        <v>85</v>
      </c>
    </row>
    <row r="8" spans="1:5" ht="12.75">
      <c r="A8" s="61" t="s">
        <v>90</v>
      </c>
      <c r="B8" s="75">
        <v>300000</v>
      </c>
      <c r="C8" s="76">
        <f>B10</f>
        <v>300000</v>
      </c>
      <c r="D8" s="76">
        <f>C10</f>
        <v>330000</v>
      </c>
      <c r="E8" s="77">
        <f>D10</f>
        <v>350000</v>
      </c>
    </row>
    <row r="9" spans="1:5" ht="12.75">
      <c r="A9" s="2" t="s">
        <v>88</v>
      </c>
      <c r="B9" s="1"/>
      <c r="C9" s="74">
        <v>30000</v>
      </c>
      <c r="D9" s="74">
        <v>20000</v>
      </c>
      <c r="E9" s="24"/>
    </row>
    <row r="10" spans="1:5" ht="13.5" thickBot="1">
      <c r="A10" s="4" t="s">
        <v>89</v>
      </c>
      <c r="B10" s="5">
        <f>B8+B9</f>
        <v>300000</v>
      </c>
      <c r="C10" s="5">
        <f>C8+C9</f>
        <v>330000</v>
      </c>
      <c r="D10" s="5">
        <f>D8+D9</f>
        <v>350000</v>
      </c>
      <c r="E10" s="6">
        <f>E8+E9</f>
        <v>350000</v>
      </c>
    </row>
    <row r="12" spans="1:8" ht="13.5" thickBot="1">
      <c r="A12" t="s">
        <v>109</v>
      </c>
      <c r="H12" t="s">
        <v>110</v>
      </c>
    </row>
    <row r="13" spans="1:11" ht="13.5" thickBot="1">
      <c r="A13" s="8" t="s">
        <v>87</v>
      </c>
      <c r="B13" s="9" t="s">
        <v>82</v>
      </c>
      <c r="C13" s="9" t="s">
        <v>83</v>
      </c>
      <c r="D13" s="9" t="s">
        <v>84</v>
      </c>
      <c r="E13" s="10" t="s">
        <v>85</v>
      </c>
      <c r="F13" s="39"/>
      <c r="G13" s="39" t="s">
        <v>103</v>
      </c>
      <c r="H13" s="8" t="s">
        <v>82</v>
      </c>
      <c r="I13" s="9" t="s">
        <v>83</v>
      </c>
      <c r="J13" s="9" t="s">
        <v>84</v>
      </c>
      <c r="K13" s="10" t="s">
        <v>85</v>
      </c>
    </row>
    <row r="14" spans="1:11" ht="12.75">
      <c r="A14" s="7" t="s">
        <v>91</v>
      </c>
      <c r="B14" s="12">
        <f>B8</f>
        <v>300000</v>
      </c>
      <c r="C14" s="12">
        <f>B17</f>
        <v>309000</v>
      </c>
      <c r="D14" s="12">
        <f>C17</f>
        <v>346698</v>
      </c>
      <c r="E14" s="13">
        <f>D17</f>
        <v>378741.3</v>
      </c>
      <c r="F14" s="66"/>
      <c r="G14" s="66"/>
      <c r="H14" s="78">
        <f>B14</f>
        <v>300000</v>
      </c>
      <c r="I14" s="12">
        <f>H17</f>
        <v>309000</v>
      </c>
      <c r="J14" s="12">
        <f>I17</f>
        <v>346698</v>
      </c>
      <c r="K14" s="13">
        <f>J17</f>
        <v>378741.3</v>
      </c>
    </row>
    <row r="15" spans="1:11" ht="12.75">
      <c r="A15" s="2" t="s">
        <v>92</v>
      </c>
      <c r="B15" s="1">
        <f>B9*(1+B5)</f>
        <v>0</v>
      </c>
      <c r="C15" s="1">
        <f>C9*(1+C5)</f>
        <v>31670.999999999996</v>
      </c>
      <c r="D15" s="1">
        <f>D9*(1+D5)</f>
        <v>21536.28</v>
      </c>
      <c r="E15" s="3">
        <f>E9*(1+E5)</f>
        <v>0</v>
      </c>
      <c r="F15" s="66"/>
      <c r="G15" s="66"/>
      <c r="H15" s="79">
        <f>B15</f>
        <v>0</v>
      </c>
      <c r="I15" s="1">
        <f>C9</f>
        <v>30000</v>
      </c>
      <c r="J15" s="1">
        <f>D9</f>
        <v>20000</v>
      </c>
      <c r="K15" s="3">
        <f>E15</f>
        <v>0</v>
      </c>
    </row>
    <row r="16" spans="1:11" ht="12.75">
      <c r="A16" s="21" t="s">
        <v>97</v>
      </c>
      <c r="B16" s="32">
        <f>B17-B14-B15</f>
        <v>9000</v>
      </c>
      <c r="C16" s="32">
        <f>C17-C14-C15</f>
        <v>6027.000000000004</v>
      </c>
      <c r="D16" s="32">
        <f>D17-D14-D15</f>
        <v>10507.01999999999</v>
      </c>
      <c r="E16" s="33">
        <f>E17-E14-E15</f>
        <v>15149.651999999944</v>
      </c>
      <c r="F16" s="66"/>
      <c r="G16" s="66"/>
      <c r="H16" s="80">
        <f>H17-H14-H15</f>
        <v>9000</v>
      </c>
      <c r="I16" s="32">
        <f>I17-I14-I15</f>
        <v>7698</v>
      </c>
      <c r="J16" s="32">
        <f>J17-J14-J15</f>
        <v>12043.299999999988</v>
      </c>
      <c r="K16" s="33">
        <f>K17-K14-K15</f>
        <v>15149.651999999944</v>
      </c>
    </row>
    <row r="17" spans="1:11" ht="13.5" thickBot="1">
      <c r="A17" s="4" t="s">
        <v>93</v>
      </c>
      <c r="B17" s="5">
        <f>B10*(1+B4)</f>
        <v>309000</v>
      </c>
      <c r="C17" s="5">
        <f>C10*(1+C4)</f>
        <v>346698</v>
      </c>
      <c r="D17" s="5">
        <f>D10*(1+D4)</f>
        <v>378741.3</v>
      </c>
      <c r="E17" s="6">
        <f>E10*(1+E4)</f>
        <v>393890.95199999993</v>
      </c>
      <c r="F17" s="66"/>
      <c r="G17" s="66"/>
      <c r="H17" s="81">
        <f>B17</f>
        <v>309000</v>
      </c>
      <c r="I17" s="5">
        <f>C17</f>
        <v>346698</v>
      </c>
      <c r="J17" s="5">
        <f>D17</f>
        <v>378741.3</v>
      </c>
      <c r="K17" s="6">
        <f>E17</f>
        <v>393890.95199999993</v>
      </c>
    </row>
    <row r="19" spans="1:2" ht="13.5" thickBot="1">
      <c r="A19" t="s">
        <v>108</v>
      </c>
      <c r="B19" s="58">
        <v>0.1</v>
      </c>
    </row>
    <row r="20" spans="1:5" ht="13.5" thickBot="1">
      <c r="A20" s="28" t="s">
        <v>94</v>
      </c>
      <c r="B20" s="29" t="s">
        <v>82</v>
      </c>
      <c r="C20" s="29" t="s">
        <v>83</v>
      </c>
      <c r="D20" s="29" t="s">
        <v>84</v>
      </c>
      <c r="E20" s="30" t="s">
        <v>85</v>
      </c>
    </row>
    <row r="21" spans="1:5" ht="12.75">
      <c r="A21" s="61" t="s">
        <v>95</v>
      </c>
      <c r="B21" s="75">
        <v>50000</v>
      </c>
      <c r="C21" s="76">
        <f>B23</f>
        <v>57500</v>
      </c>
      <c r="D21" s="76">
        <f>C23</f>
        <v>65000</v>
      </c>
      <c r="E21" s="77">
        <f>D23</f>
        <v>73250</v>
      </c>
    </row>
    <row r="22" spans="1:5" ht="12.75">
      <c r="A22" s="2" t="s">
        <v>106</v>
      </c>
      <c r="B22" s="1">
        <f>B8*B19/4</f>
        <v>7500</v>
      </c>
      <c r="C22" s="1">
        <f>C8*B19/4</f>
        <v>7500</v>
      </c>
      <c r="D22" s="1">
        <f>D8*B19/4</f>
        <v>8250</v>
      </c>
      <c r="E22" s="3">
        <f>E8*B19/4</f>
        <v>8750</v>
      </c>
    </row>
    <row r="23" spans="1:5" ht="13.5" thickBot="1">
      <c r="A23" s="4" t="s">
        <v>96</v>
      </c>
      <c r="B23" s="5">
        <f>B21+B22</f>
        <v>57500</v>
      </c>
      <c r="C23" s="5">
        <f>C21+C22</f>
        <v>65000</v>
      </c>
      <c r="D23" s="5">
        <f>D21+D22</f>
        <v>73250</v>
      </c>
      <c r="E23" s="6">
        <f>E21+E22</f>
        <v>82000</v>
      </c>
    </row>
    <row r="24" ht="13.5" thickBot="1"/>
    <row r="25" spans="1:5" ht="13.5" thickBot="1">
      <c r="A25" s="28" t="s">
        <v>105</v>
      </c>
      <c r="B25" s="29" t="s">
        <v>82</v>
      </c>
      <c r="C25" s="29" t="s">
        <v>83</v>
      </c>
      <c r="D25" s="29" t="s">
        <v>84</v>
      </c>
      <c r="E25" s="30" t="s">
        <v>85</v>
      </c>
    </row>
    <row r="26" spans="1:5" ht="12.75">
      <c r="A26" s="61" t="s">
        <v>95</v>
      </c>
      <c r="B26" s="76">
        <f>B21</f>
        <v>50000</v>
      </c>
      <c r="C26" s="76">
        <f>B29</f>
        <v>59225</v>
      </c>
      <c r="D26" s="76">
        <f>C29</f>
        <v>68289</v>
      </c>
      <c r="E26" s="77">
        <f>D29</f>
        <v>79265.14349999999</v>
      </c>
    </row>
    <row r="27" spans="1:5" ht="12.75">
      <c r="A27" s="2" t="s">
        <v>104</v>
      </c>
      <c r="B27" s="1">
        <f>B22*(1+B5)</f>
        <v>7762.499999999999</v>
      </c>
      <c r="C27" s="1">
        <f>C22*(1+C5)</f>
        <v>7917.749999999999</v>
      </c>
      <c r="D27" s="1">
        <f>D22*(1+D5)</f>
        <v>8883.7155</v>
      </c>
      <c r="E27" s="3">
        <f>E22*(1+E5)</f>
        <v>9704.786175</v>
      </c>
    </row>
    <row r="28" spans="1:5" ht="12.75">
      <c r="A28" s="21" t="s">
        <v>98</v>
      </c>
      <c r="B28" s="32">
        <f>B29-B26-B27</f>
        <v>1462.500000000001</v>
      </c>
      <c r="C28" s="32">
        <f>C29-C26-C27</f>
        <v>1146.250000000001</v>
      </c>
      <c r="D28" s="32">
        <f>D29-D26-D27</f>
        <v>2092.427999999991</v>
      </c>
      <c r="E28" s="33">
        <f>E29-E26-E27</f>
        <v>3313.093364999995</v>
      </c>
    </row>
    <row r="29" spans="1:5" ht="13.5" thickBot="1">
      <c r="A29" s="19" t="s">
        <v>107</v>
      </c>
      <c r="B29" s="5">
        <f>B23*(1+B4)</f>
        <v>59225</v>
      </c>
      <c r="C29" s="5">
        <f>C23*(1+C4)</f>
        <v>68289</v>
      </c>
      <c r="D29" s="5">
        <f>D23*(1+D4)</f>
        <v>79265.14349999999</v>
      </c>
      <c r="E29" s="6">
        <f>E23*(1+E4)</f>
        <v>92283.02303999999</v>
      </c>
    </row>
    <row r="30" spans="1:5" ht="12.75">
      <c r="A30" s="51"/>
      <c r="B30" s="87"/>
      <c r="C30" s="87"/>
      <c r="D30" s="87"/>
      <c r="E30" s="87"/>
    </row>
    <row r="31" spans="1:8" ht="13.5" thickBot="1">
      <c r="A31" t="s">
        <v>109</v>
      </c>
      <c r="H31" t="s">
        <v>110</v>
      </c>
    </row>
    <row r="32" spans="1:11" ht="13.5" thickBot="1">
      <c r="A32" s="8" t="s">
        <v>99</v>
      </c>
      <c r="B32" s="9" t="s">
        <v>82</v>
      </c>
      <c r="C32" s="9" t="s">
        <v>83</v>
      </c>
      <c r="D32" s="9" t="s">
        <v>84</v>
      </c>
      <c r="E32" s="10" t="s">
        <v>85</v>
      </c>
      <c r="G32" s="45" t="s">
        <v>103</v>
      </c>
      <c r="H32" s="8" t="s">
        <v>82</v>
      </c>
      <c r="I32" s="9" t="s">
        <v>83</v>
      </c>
      <c r="J32" s="9" t="s">
        <v>84</v>
      </c>
      <c r="K32" s="10" t="s">
        <v>85</v>
      </c>
    </row>
    <row r="33" spans="1:11" ht="12.75">
      <c r="A33" s="7" t="s">
        <v>100</v>
      </c>
      <c r="B33" s="82">
        <f>B16</f>
        <v>9000</v>
      </c>
      <c r="C33" s="82">
        <f>C16</f>
        <v>6027.000000000004</v>
      </c>
      <c r="D33" s="82">
        <f>D16</f>
        <v>10507.01999999999</v>
      </c>
      <c r="E33" s="83">
        <f>E16</f>
        <v>15149.651999999944</v>
      </c>
      <c r="H33" s="86">
        <f>H16</f>
        <v>9000</v>
      </c>
      <c r="I33" s="82">
        <f>I16</f>
        <v>7698</v>
      </c>
      <c r="J33" s="82">
        <f>J16</f>
        <v>12043.299999999988</v>
      </c>
      <c r="K33" s="83">
        <f>K16</f>
        <v>15149.651999999944</v>
      </c>
    </row>
    <row r="34" spans="1:11" ht="12.75">
      <c r="A34" s="2" t="s">
        <v>101</v>
      </c>
      <c r="B34" s="26">
        <f>-B28</f>
        <v>-1462.500000000001</v>
      </c>
      <c r="C34" s="26">
        <f>-C28</f>
        <v>-1146.250000000001</v>
      </c>
      <c r="D34" s="26">
        <f>-D28</f>
        <v>-2092.427999999991</v>
      </c>
      <c r="E34" s="27">
        <f>-E28</f>
        <v>-3313.093364999995</v>
      </c>
      <c r="H34" s="84">
        <f>B34</f>
        <v>-1462.500000000001</v>
      </c>
      <c r="I34" s="26">
        <f>C34</f>
        <v>-1146.250000000001</v>
      </c>
      <c r="J34" s="26">
        <f>D34</f>
        <v>-2092.427999999991</v>
      </c>
      <c r="K34" s="27">
        <f>E34</f>
        <v>-3313.093364999995</v>
      </c>
    </row>
    <row r="35" spans="1:11" ht="13.5" thickBot="1">
      <c r="A35" s="4" t="s">
        <v>102</v>
      </c>
      <c r="B35" s="36">
        <f>B33+B34</f>
        <v>7537.499999999999</v>
      </c>
      <c r="C35" s="36">
        <f>C33+C34</f>
        <v>4880.750000000003</v>
      </c>
      <c r="D35" s="36">
        <f>D33+D34</f>
        <v>8414.591999999999</v>
      </c>
      <c r="E35" s="37">
        <f>E33+E34</f>
        <v>11836.558634999948</v>
      </c>
      <c r="F35" s="39"/>
      <c r="G35" s="39"/>
      <c r="H35" s="85">
        <f>H33+H34</f>
        <v>7537.499999999999</v>
      </c>
      <c r="I35" s="36">
        <f>I33+I34</f>
        <v>6551.749999999999</v>
      </c>
      <c r="J35" s="36">
        <f>J33+J34</f>
        <v>9950.871999999998</v>
      </c>
      <c r="K35" s="37">
        <f>K33+K34</f>
        <v>11836.558634999948</v>
      </c>
    </row>
  </sheetData>
  <printOptions/>
  <pageMargins left="0.75" right="0.75" top="1" bottom="1" header="0.492125985" footer="0.49212598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Alexandre Silva de Oliveira</cp:lastModifiedBy>
  <cp:lastPrinted>2005-10-31T19:14:41Z</cp:lastPrinted>
  <dcterms:created xsi:type="dcterms:W3CDTF">2005-09-26T23:52:41Z</dcterms:created>
  <dcterms:modified xsi:type="dcterms:W3CDTF">2006-05-29T18:01:50Z</dcterms:modified>
  <cp:category/>
  <cp:version/>
  <cp:contentType/>
  <cp:contentStatus/>
</cp:coreProperties>
</file>